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theme/themeOverride4.xml" ContentType="application/vnd.openxmlformats-officedocument.themeOverride+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heme/themeOverride2.xml" ContentType="application/vnd.openxmlformats-officedocument.themeOverride+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theme/themeOverride5.xml" ContentType="application/vnd.openxmlformats-officedocument.themeOverride+xml"/>
  <Override PartName="/xl/worksheets/sheet14.xml" ContentType="application/vnd.openxmlformats-officedocument.spreadsheetml.worksheet+xml"/>
  <Override PartName="/xl/worksheets/sheet23.xml" ContentType="application/vnd.openxmlformats-officedocument.spreadsheetml.worksheet+xml"/>
  <Override PartName="/xl/theme/themeOverride3.xml" ContentType="application/vnd.openxmlformats-officedocument.themeOverride+xml"/>
  <Override PartName="/xl/charts/chart5.xml" ContentType="application/vnd.openxmlformats-officedocument.drawingml.chart+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75" yWindow="405" windowWidth="13095" windowHeight="9000"/>
  </bookViews>
  <sheets>
    <sheet name="READ ME" sheetId="39" r:id="rId1"/>
    <sheet name="Checklist" sheetId="40" r:id="rId2"/>
    <sheet name="General Information" sheetId="25" r:id="rId3"/>
    <sheet name="C1-Statewide Avg Rate Level Chg" sheetId="20" r:id="rId4"/>
    <sheet name="C2-Rate Change History" sheetId="19" r:id="rId5"/>
    <sheet name="C3-Rate Change by Variable" sheetId="21" r:id="rId6"/>
    <sheet name="D-Historical Experience" sheetId="16" r:id="rId7"/>
    <sheet name="E-Expense" sheetId="26" r:id="rId8"/>
    <sheet name="1-Indication" sheetId="1" r:id="rId9"/>
    <sheet name="2-Current Rate Level" sheetId="13" r:id="rId10"/>
    <sheet name="3A-Premium Trend" sheetId="6" r:id="rId11"/>
    <sheet name="3B-Premium Trend" sheetId="12" r:id="rId12"/>
    <sheet name="4-Loss Development" sheetId="10" r:id="rId13"/>
    <sheet name="5A-Loss Trend" sheetId="4" r:id="rId14"/>
    <sheet name="5B-Loss Trend" sheetId="11" r:id="rId15"/>
    <sheet name="5C-Loss Trend" sheetId="5" r:id="rId16"/>
    <sheet name="6-Loss Ratio Trend" sheetId="3" r:id="rId17"/>
    <sheet name="7-Non-Modeled Cat" sheetId="24" r:id="rId18"/>
    <sheet name="8-Modeled Cat" sheetId="23" r:id="rId19"/>
    <sheet name="9-Loss Adjustment Expenses" sheetId="14" r:id="rId20"/>
    <sheet name="10-Fixed &amp; Variable Expenses" sheetId="15" r:id="rId21"/>
    <sheet name="11-Reinsurance" sheetId="29" r:id="rId22"/>
    <sheet name="12A-Profit" sheetId="37" r:id="rId23"/>
    <sheet name="12B-Total Return" sheetId="38" r:id="rId24"/>
    <sheet name="13-Credibility" sheetId="17" r:id="rId25"/>
    <sheet name="14-Fees" sheetId="31" r:id="rId26"/>
    <sheet name="15-Policyholder Impact" sheetId="18" r:id="rId27"/>
    <sheet name="16-Premium Change by County" sheetId="36" r:id="rId28"/>
  </sheets>
  <definedNames>
    <definedName name="Fees" localSheetId="25">'14-Fees'!$M$8:$M$8</definedName>
    <definedName name="_xlnm.Print_Area" localSheetId="21">'11-Reinsurance'!$A$1:$G$92</definedName>
    <definedName name="_xlnm.Print_Area" localSheetId="25">'14-Fees'!$A$1:$G$57</definedName>
    <definedName name="_xlnm.Print_Area" localSheetId="26">'15-Policyholder Impact'!$A$1:$I$55</definedName>
    <definedName name="_xlnm.Print_Area" localSheetId="10">'3A-Premium Trend'!$A$1:$O$39</definedName>
    <definedName name="_xlnm.Print_Area" localSheetId="11">'3B-Premium Trend'!$A$1:$G$47</definedName>
    <definedName name="_xlnm.Print_Area" localSheetId="12">'4-Loss Development'!$A$1:$K$71</definedName>
    <definedName name="_xlnm.Print_Area" localSheetId="13">'5A-Loss Trend'!$A$1:$P$46</definedName>
    <definedName name="_xlnm.Print_Area" localSheetId="14">'5B-Loss Trend'!$A$1:$G$47</definedName>
    <definedName name="_xlnm.Print_Area" localSheetId="16">'6-Loss Ratio Trend'!$B$1:$M$34</definedName>
    <definedName name="_xlnm.Print_Area" localSheetId="17">'7-Non-Modeled Cat'!$A$1:$E$105</definedName>
    <definedName name="_xlnm.Print_Area" localSheetId="18">'8-Modeled Cat'!$A$1:$I$79</definedName>
    <definedName name="_xlnm.Print_Area" localSheetId="1">Checklist!$A$1:$F$76</definedName>
    <definedName name="_xlnm.Print_Area" localSheetId="2">'General Information'!$A$1:$F$45</definedName>
    <definedName name="_xlnm.Print_Titles" localSheetId="20">'10-Fixed &amp; Variable Expenses'!$1:$5</definedName>
    <definedName name="_xlnm.Print_Titles" localSheetId="21">'11-Reinsurance'!$1:$5</definedName>
    <definedName name="_xlnm.Print_Titles" localSheetId="27">'16-Premium Change by County'!$1:$9</definedName>
    <definedName name="_xlnm.Print_Titles" localSheetId="8">'1-Indication'!$1:$5</definedName>
    <definedName name="_xlnm.Print_Titles" localSheetId="12">'4-Loss Development'!$1:$5</definedName>
    <definedName name="_xlnm.Print_Titles" localSheetId="18">'8-Modeled Cat'!$1:$5</definedName>
    <definedName name="_xlnm.Print_Titles" localSheetId="1">Checklist!$1:$5</definedName>
    <definedName name="_xlnm.Print_Titles" localSheetId="7">'E-Expense'!$1:$5</definedName>
    <definedName name="_xlnm.Print_Titles" localSheetId="0">'READ ME'!$1:$6</definedName>
  </definedNames>
  <calcPr calcId="125725"/>
</workbook>
</file>

<file path=xl/calcChain.xml><?xml version="1.0" encoding="utf-8"?>
<calcChain xmlns="http://schemas.openxmlformats.org/spreadsheetml/2006/main">
  <c r="B53" i="1"/>
  <c r="B57" i="21" l="1"/>
  <c r="E45" i="24"/>
  <c r="J19" i="31"/>
  <c r="J20"/>
  <c r="J21"/>
  <c r="J22"/>
  <c r="J23"/>
  <c r="J24"/>
  <c r="J18"/>
  <c r="O19"/>
  <c r="O20"/>
  <c r="O21"/>
  <c r="O22"/>
  <c r="O23"/>
  <c r="O24"/>
  <c r="J12"/>
  <c r="J13"/>
  <c r="J14"/>
  <c r="J15"/>
  <c r="J16"/>
  <c r="J17"/>
  <c r="J11"/>
  <c r="E12" i="29"/>
  <c r="E66" i="23"/>
  <c r="E46" i="24"/>
  <c r="D46"/>
  <c r="D45"/>
  <c r="E44"/>
  <c r="D44"/>
  <c r="A48"/>
  <c r="E40"/>
  <c r="D41"/>
  <c r="C41"/>
  <c r="E41" s="1"/>
  <c r="B40"/>
  <c r="K24" i="1"/>
  <c r="K9"/>
  <c r="B62" i="24"/>
  <c r="D13" i="29"/>
  <c r="D66" i="23"/>
  <c r="B17" i="29"/>
  <c r="B16"/>
  <c r="B15"/>
  <c r="B13"/>
  <c r="B12"/>
  <c r="H52" i="15"/>
  <c r="H53"/>
  <c r="B26" i="14"/>
  <c r="J25" i="31" l="1"/>
  <c r="H54" i="15"/>
  <c r="B49" i="14" l="1"/>
  <c r="B53" i="26"/>
  <c r="C16"/>
  <c r="C15"/>
  <c r="E19" i="11"/>
  <c r="G14" i="1"/>
  <c r="G13"/>
  <c r="G12"/>
  <c r="G11"/>
  <c r="G10"/>
  <c r="D8" i="14"/>
  <c r="E15"/>
  <c r="D15"/>
  <c r="C15"/>
  <c r="E8"/>
  <c r="C8"/>
  <c r="B48"/>
  <c r="B42"/>
  <c r="B41"/>
  <c r="B47" s="1"/>
  <c r="B23" l="1"/>
  <c r="E9" i="3"/>
  <c r="D9"/>
  <c r="K64" i="10"/>
  <c r="J64" s="1"/>
  <c r="I64" s="1"/>
  <c r="H64" s="1"/>
  <c r="G64" s="1"/>
  <c r="F64" s="1"/>
  <c r="E64" s="1"/>
  <c r="D64" s="1"/>
  <c r="C64" s="1"/>
  <c r="B9"/>
  <c r="H22" i="1"/>
  <c r="B61" i="24" s="1"/>
  <c r="D10"/>
  <c r="C10"/>
  <c r="H24" i="1"/>
  <c r="H21"/>
  <c r="J9"/>
  <c r="I9"/>
  <c r="G16" i="25"/>
  <c r="F9" i="1"/>
  <c r="A9"/>
  <c r="A17" i="25"/>
  <c r="A18"/>
  <c r="E12" i="24"/>
  <c r="E13"/>
  <c r="E14"/>
  <c r="E15"/>
  <c r="E16"/>
  <c r="E17"/>
  <c r="E18"/>
  <c r="E19"/>
  <c r="E20"/>
  <c r="E21"/>
  <c r="E22"/>
  <c r="E23"/>
  <c r="E24"/>
  <c r="E25"/>
  <c r="E26"/>
  <c r="E27"/>
  <c r="E28"/>
  <c r="E29"/>
  <c r="E30"/>
  <c r="E31"/>
  <c r="E32"/>
  <c r="E33"/>
  <c r="E34"/>
  <c r="E35"/>
  <c r="E36"/>
  <c r="E37"/>
  <c r="E38"/>
  <c r="E39"/>
  <c r="E11"/>
  <c r="B39"/>
  <c r="B38" s="1"/>
  <c r="B37" s="1"/>
  <c r="B36" s="1"/>
  <c r="B35" s="1"/>
  <c r="B34" s="1"/>
  <c r="B33" s="1"/>
  <c r="B32" s="1"/>
  <c r="B31" s="1"/>
  <c r="B30" s="1"/>
  <c r="B29" s="1"/>
  <c r="B28" s="1"/>
  <c r="B27" s="1"/>
  <c r="B26" s="1"/>
  <c r="B25" s="1"/>
  <c r="B24" s="1"/>
  <c r="B23" s="1"/>
  <c r="B22" s="1"/>
  <c r="B21" s="1"/>
  <c r="B20" s="1"/>
  <c r="B19" s="1"/>
  <c r="B18" s="1"/>
  <c r="B17" s="1"/>
  <c r="B16" s="1"/>
  <c r="B15" s="1"/>
  <c r="B14" s="1"/>
  <c r="B13" s="1"/>
  <c r="B12" s="1"/>
  <c r="B11" s="1"/>
  <c r="B16" i="16"/>
  <c r="B15" s="1"/>
  <c r="A102" i="24"/>
  <c r="D9" l="1"/>
  <c r="B12" i="23"/>
  <c r="I66"/>
  <c r="B88" i="29"/>
  <c r="B72" i="26"/>
  <c r="M4" i="10"/>
  <c r="A6" s="1"/>
  <c r="A10"/>
  <c r="B57" i="23"/>
  <c r="A57" i="21"/>
  <c r="A26" i="14"/>
  <c r="E9" i="24" l="1"/>
  <c r="A103"/>
  <c r="C35" i="26"/>
  <c r="C36"/>
  <c r="F58" i="23"/>
  <c r="F59"/>
  <c r="F60"/>
  <c r="G60" s="1"/>
  <c r="F61"/>
  <c r="F62"/>
  <c r="F63"/>
  <c r="F64"/>
  <c r="F65"/>
  <c r="B58"/>
  <c r="B59"/>
  <c r="B60"/>
  <c r="B61"/>
  <c r="B62"/>
  <c r="B63"/>
  <c r="B64"/>
  <c r="B65"/>
  <c r="D52" i="21"/>
  <c r="D28"/>
  <c r="C38" i="25"/>
  <c r="C37"/>
  <c r="M12" i="31"/>
  <c r="M13"/>
  <c r="M14"/>
  <c r="M15"/>
  <c r="M16"/>
  <c r="M17"/>
  <c r="M18"/>
  <c r="M19"/>
  <c r="M20"/>
  <c r="M21"/>
  <c r="M22"/>
  <c r="M23"/>
  <c r="M24"/>
  <c r="M11"/>
  <c r="L12"/>
  <c r="L13"/>
  <c r="L14"/>
  <c r="L15"/>
  <c r="L16"/>
  <c r="L17"/>
  <c r="L18"/>
  <c r="L19"/>
  <c r="L20"/>
  <c r="L21"/>
  <c r="L22"/>
  <c r="L23"/>
  <c r="L24"/>
  <c r="L11"/>
  <c r="K11"/>
  <c r="K12"/>
  <c r="K13"/>
  <c r="K14"/>
  <c r="K15"/>
  <c r="K16"/>
  <c r="K17"/>
  <c r="K18"/>
  <c r="K19"/>
  <c r="K20"/>
  <c r="K21"/>
  <c r="K22"/>
  <c r="K23"/>
  <c r="K24"/>
  <c r="C10" i="12"/>
  <c r="C9"/>
  <c r="G9" i="26"/>
  <c r="B11" i="10"/>
  <c r="C11" s="1"/>
  <c r="D11" s="1"/>
  <c r="E11" s="1"/>
  <c r="F11" s="1"/>
  <c r="G11" s="1"/>
  <c r="H11" s="1"/>
  <c r="I11" s="1"/>
  <c r="J11" s="1"/>
  <c r="K11" s="1"/>
  <c r="B14" i="18"/>
  <c r="B19"/>
  <c r="B18"/>
  <c r="B17"/>
  <c r="B16"/>
  <c r="B15"/>
  <c r="G5" i="16"/>
  <c r="G5" i="26"/>
  <c r="A40" i="14"/>
  <c r="H66" i="23"/>
  <c r="N11" i="31" l="1"/>
  <c r="O11" s="1"/>
  <c r="A104" i="24"/>
  <c r="N12" i="31"/>
  <c r="O12" s="1"/>
  <c r="M25"/>
  <c r="L25"/>
  <c r="B11" i="14"/>
  <c r="C103" i="18"/>
  <c r="C91"/>
  <c r="A32" i="31"/>
  <c r="A38" s="1"/>
  <c r="G15" i="15"/>
  <c r="E4" i="20"/>
  <c r="E4" i="19" s="1"/>
  <c r="E4" i="21" s="1"/>
  <c r="G4" i="16" s="1"/>
  <c r="G4" i="26" s="1"/>
  <c r="J5" i="1"/>
  <c r="J4"/>
  <c r="H4" i="13" s="1"/>
  <c r="O4" i="6" s="1"/>
  <c r="G4" i="12" s="1"/>
  <c r="J4" i="10" s="1"/>
  <c r="H5" i="13"/>
  <c r="O5" i="6" s="1"/>
  <c r="G5" i="12" s="1"/>
  <c r="J5" i="10" s="1"/>
  <c r="G25" i="16"/>
  <c r="G26"/>
  <c r="G27"/>
  <c r="G28"/>
  <c r="G24"/>
  <c r="H48" i="40"/>
  <c r="B33" i="25"/>
  <c r="E10" i="38"/>
  <c r="E11"/>
  <c r="E12"/>
  <c r="E13"/>
  <c r="E15"/>
  <c r="E17"/>
  <c r="E19" i="37"/>
  <c r="O14" i="4"/>
  <c r="O15"/>
  <c r="O16"/>
  <c r="O17"/>
  <c r="O18"/>
  <c r="O19"/>
  <c r="O20"/>
  <c r="O21"/>
  <c r="O22"/>
  <c r="O23"/>
  <c r="O24"/>
  <c r="O25"/>
  <c r="O26"/>
  <c r="O27"/>
  <c r="O28"/>
  <c r="O29"/>
  <c r="O30"/>
  <c r="O31"/>
  <c r="O32"/>
  <c r="O33"/>
  <c r="O13"/>
  <c r="N14"/>
  <c r="N15"/>
  <c r="N16"/>
  <c r="N17"/>
  <c r="N18"/>
  <c r="N19"/>
  <c r="N20"/>
  <c r="N21"/>
  <c r="N22"/>
  <c r="N23"/>
  <c r="N24"/>
  <c r="N25"/>
  <c r="N26"/>
  <c r="N27"/>
  <c r="N28"/>
  <c r="N29"/>
  <c r="N30"/>
  <c r="N31"/>
  <c r="N32"/>
  <c r="N33"/>
  <c r="N13"/>
  <c r="J11"/>
  <c r="J12"/>
  <c r="J13"/>
  <c r="J14"/>
  <c r="J15"/>
  <c r="J16"/>
  <c r="J17"/>
  <c r="J18"/>
  <c r="J19"/>
  <c r="J20"/>
  <c r="J21"/>
  <c r="J22"/>
  <c r="J23"/>
  <c r="J24"/>
  <c r="J25"/>
  <c r="J26"/>
  <c r="J27"/>
  <c r="J28"/>
  <c r="J29"/>
  <c r="J30"/>
  <c r="J31"/>
  <c r="J32"/>
  <c r="J33"/>
  <c r="J10"/>
  <c r="I11"/>
  <c r="K11" s="1"/>
  <c r="I12"/>
  <c r="K12" s="1"/>
  <c r="I13"/>
  <c r="K13" s="1"/>
  <c r="I14"/>
  <c r="K14" s="1"/>
  <c r="I15"/>
  <c r="K15" s="1"/>
  <c r="I16"/>
  <c r="K16" s="1"/>
  <c r="I17"/>
  <c r="K17" s="1"/>
  <c r="I18"/>
  <c r="K18" s="1"/>
  <c r="I19"/>
  <c r="I20"/>
  <c r="K20" s="1"/>
  <c r="I21"/>
  <c r="K21" s="1"/>
  <c r="I22"/>
  <c r="K22" s="1"/>
  <c r="I23"/>
  <c r="K23" s="1"/>
  <c r="I24"/>
  <c r="K24" s="1"/>
  <c r="I25"/>
  <c r="K25" s="1"/>
  <c r="I26"/>
  <c r="K26" s="1"/>
  <c r="I27"/>
  <c r="K27" s="1"/>
  <c r="I28"/>
  <c r="K28" s="1"/>
  <c r="I29"/>
  <c r="K29" s="1"/>
  <c r="I30"/>
  <c r="K30" s="1"/>
  <c r="I31"/>
  <c r="K31" s="1"/>
  <c r="I32"/>
  <c r="K32" s="1"/>
  <c r="I33"/>
  <c r="K33" s="1"/>
  <c r="I10"/>
  <c r="K10" s="1"/>
  <c r="A21" i="10"/>
  <c r="A20" s="1"/>
  <c r="A19" s="1"/>
  <c r="A18" s="1"/>
  <c r="A17" s="1"/>
  <c r="A16" s="1"/>
  <c r="A15" s="1"/>
  <c r="A14" s="1"/>
  <c r="A13" s="1"/>
  <c r="A12" s="1"/>
  <c r="H13" i="6"/>
  <c r="H14"/>
  <c r="H15"/>
  <c r="H16"/>
  <c r="H17"/>
  <c r="H18"/>
  <c r="H19"/>
  <c r="H20"/>
  <c r="H21"/>
  <c r="H22"/>
  <c r="H23"/>
  <c r="H24"/>
  <c r="H25"/>
  <c r="H26"/>
  <c r="H27"/>
  <c r="H28"/>
  <c r="H29"/>
  <c r="H30"/>
  <c r="H31"/>
  <c r="H32"/>
  <c r="H12"/>
  <c r="G10"/>
  <c r="G11"/>
  <c r="G12"/>
  <c r="G13"/>
  <c r="G14"/>
  <c r="G15"/>
  <c r="G16"/>
  <c r="G17"/>
  <c r="G18"/>
  <c r="G19"/>
  <c r="G20"/>
  <c r="G21"/>
  <c r="G22"/>
  <c r="G23"/>
  <c r="G24"/>
  <c r="G25"/>
  <c r="G26"/>
  <c r="G27"/>
  <c r="G28"/>
  <c r="G29"/>
  <c r="G30"/>
  <c r="G31"/>
  <c r="G32"/>
  <c r="G9"/>
  <c r="B33" i="4"/>
  <c r="B66" i="3" s="1"/>
  <c r="K22" i="1"/>
  <c r="C11"/>
  <c r="C12"/>
  <c r="C13"/>
  <c r="C14"/>
  <c r="C10"/>
  <c r="A10"/>
  <c r="A11"/>
  <c r="A12"/>
  <c r="A13"/>
  <c r="A14"/>
  <c r="F8" i="15"/>
  <c r="B10" i="14"/>
  <c r="G13" i="16"/>
  <c r="G14"/>
  <c r="G15"/>
  <c r="G16"/>
  <c r="G12"/>
  <c r="D15" i="29"/>
  <c r="B14" i="12"/>
  <c r="B14" i="11" s="1"/>
  <c r="E32" i="26"/>
  <c r="E33" s="1"/>
  <c r="E23"/>
  <c r="H48" i="15"/>
  <c r="E14" i="37"/>
  <c r="E14" i="38" s="1"/>
  <c r="A57" i="24" l="1"/>
  <c r="A61" s="1"/>
  <c r="A64" s="1"/>
  <c r="A68" s="1"/>
  <c r="A76" s="1"/>
  <c r="A88" s="1"/>
  <c r="B14" i="16"/>
  <c r="B9" i="14" s="1"/>
  <c r="B16" s="1"/>
  <c r="F9" i="26"/>
  <c r="E8" i="15" s="1"/>
  <c r="E16" i="38"/>
  <c r="E18" s="1"/>
  <c r="P33" i="4"/>
  <c r="P31"/>
  <c r="P29"/>
  <c r="P27"/>
  <c r="P25"/>
  <c r="P23"/>
  <c r="P21"/>
  <c r="P19"/>
  <c r="P17"/>
  <c r="P15"/>
  <c r="C33"/>
  <c r="O4"/>
  <c r="G4" i="11" s="1"/>
  <c r="H4" i="5" s="1"/>
  <c r="M4" i="3" s="1"/>
  <c r="E4" i="24" s="1"/>
  <c r="I4" i="23" s="1"/>
  <c r="G4" i="14" s="1"/>
  <c r="H4" i="15" s="1"/>
  <c r="G4" i="29" s="1"/>
  <c r="G4" i="37" s="1"/>
  <c r="G4" i="38" s="1"/>
  <c r="G4" i="17" s="1"/>
  <c r="G4" i="31" s="1"/>
  <c r="I4" i="18" s="1"/>
  <c r="D4" i="36" s="1"/>
  <c r="O5" i="4"/>
  <c r="G5" i="11" s="1"/>
  <c r="H5" i="5" s="1"/>
  <c r="M5" i="3" s="1"/>
  <c r="E5" i="24" s="1"/>
  <c r="I5" i="23" s="1"/>
  <c r="G5" i="14" s="1"/>
  <c r="H5" i="15" s="1"/>
  <c r="G5" i="29" s="1"/>
  <c r="G5" i="37" s="1"/>
  <c r="G5" i="38" s="1"/>
  <c r="G5" i="17" s="1"/>
  <c r="G5" i="31" s="1"/>
  <c r="I5" i="18" s="1"/>
  <c r="D5" i="36" s="1"/>
  <c r="P13" i="4"/>
  <c r="P32"/>
  <c r="P30"/>
  <c r="P28"/>
  <c r="P26"/>
  <c r="P24"/>
  <c r="P22"/>
  <c r="P20"/>
  <c r="P18"/>
  <c r="P16"/>
  <c r="P14"/>
  <c r="K19"/>
  <c r="B28" i="16"/>
  <c r="C9" i="3"/>
  <c r="G1" i="37"/>
  <c r="A10" i="38"/>
  <c r="G1"/>
  <c r="E11" i="37"/>
  <c r="E15" s="1"/>
  <c r="E24" s="1"/>
  <c r="A9"/>
  <c r="A45" s="1"/>
  <c r="B13" i="16" l="1"/>
  <c r="B12" s="1"/>
  <c r="E9" i="26"/>
  <c r="D8" i="15" s="1"/>
  <c r="B17" i="14"/>
  <c r="B18"/>
  <c r="B27" i="16"/>
  <c r="A39" i="38"/>
  <c r="A40" s="1"/>
  <c r="A41" s="1"/>
  <c r="A42" s="1"/>
  <c r="A43" s="1"/>
  <c r="A44" s="1"/>
  <c r="A45" s="1"/>
  <c r="A46" s="1"/>
  <c r="A47" s="1"/>
  <c r="A11"/>
  <c r="A12" s="1"/>
  <c r="A10" i="37"/>
  <c r="A13" i="38"/>
  <c r="A14" s="1"/>
  <c r="A15" s="1"/>
  <c r="A16" s="1"/>
  <c r="A17" s="1"/>
  <c r="A18" s="1"/>
  <c r="B26" i="16" l="1"/>
  <c r="A11" i="37"/>
  <c r="A46"/>
  <c r="A105" i="24"/>
  <c r="B12" i="18"/>
  <c r="N13" i="31"/>
  <c r="O13" s="1"/>
  <c r="N14"/>
  <c r="O14" s="1"/>
  <c r="N15"/>
  <c r="O15" s="1"/>
  <c r="N16"/>
  <c r="O16" s="1"/>
  <c r="N17"/>
  <c r="O17" s="1"/>
  <c r="N18"/>
  <c r="O18" s="1"/>
  <c r="O25" s="1"/>
  <c r="N19"/>
  <c r="N20"/>
  <c r="N21"/>
  <c r="N22"/>
  <c r="N23"/>
  <c r="N24"/>
  <c r="A50" i="18"/>
  <c r="A10"/>
  <c r="A40" i="31"/>
  <c r="A45" s="1"/>
  <c r="A47" s="1"/>
  <c r="A52" s="1"/>
  <c r="H49" i="15"/>
  <c r="A10" i="29"/>
  <c r="A11" s="1"/>
  <c r="A84"/>
  <c r="A85" s="1"/>
  <c r="A86" s="1"/>
  <c r="H1" i="15"/>
  <c r="G1" i="16"/>
  <c r="E1" i="21"/>
  <c r="E1" i="19"/>
  <c r="E1" i="20"/>
  <c r="A51" i="18"/>
  <c r="A52" s="1"/>
  <c r="A53" s="1"/>
  <c r="A54" s="1"/>
  <c r="A55" s="1"/>
  <c r="D1" i="36"/>
  <c r="I1" i="18"/>
  <c r="G1" i="31"/>
  <c r="G1" i="17"/>
  <c r="G1" i="29"/>
  <c r="G1" i="14"/>
  <c r="B24" i="16" l="1"/>
  <c r="B25"/>
  <c r="A87" i="29"/>
  <c r="A88" s="1"/>
  <c r="A89" s="1"/>
  <c r="A90" s="1"/>
  <c r="A91" s="1"/>
  <c r="A92" s="1"/>
  <c r="A12"/>
  <c r="A13" s="1"/>
  <c r="A14" s="1"/>
  <c r="A15" s="1"/>
  <c r="A16" s="1"/>
  <c r="A17" s="1"/>
  <c r="A19" s="1"/>
  <c r="A28" s="1"/>
  <c r="A47" i="37"/>
  <c r="A48" s="1"/>
  <c r="A49" s="1"/>
  <c r="A50" s="1"/>
  <c r="A51" s="1"/>
  <c r="A52" s="1"/>
  <c r="A53" s="1"/>
  <c r="C45" s="1"/>
  <c r="C46" s="1"/>
  <c r="C47" s="1"/>
  <c r="C48" s="1"/>
  <c r="C49" s="1"/>
  <c r="C50" s="1"/>
  <c r="C51" s="1"/>
  <c r="C52" s="1"/>
  <c r="C53" s="1"/>
  <c r="A12"/>
  <c r="A13" s="1"/>
  <c r="A14" s="1"/>
  <c r="A15" s="1"/>
  <c r="A16" s="1"/>
  <c r="A17" s="1"/>
  <c r="A18" s="1"/>
  <c r="A19" s="1"/>
  <c r="A20" s="1"/>
  <c r="A21" s="1"/>
  <c r="A22" s="1"/>
  <c r="A23" s="1"/>
  <c r="A24" s="1"/>
  <c r="A26" s="1"/>
  <c r="A27" s="1"/>
  <c r="A30" s="1"/>
  <c r="A34" s="1"/>
  <c r="G1" i="26"/>
  <c r="I1" i="23"/>
  <c r="E1" i="24"/>
  <c r="M1" i="3"/>
  <c r="H1" i="5"/>
  <c r="G1" i="11"/>
  <c r="P1" i="4"/>
  <c r="K1" i="10"/>
  <c r="G1" i="12"/>
  <c r="O1" i="6"/>
  <c r="H1" i="13"/>
  <c r="A37" i="29" l="1"/>
  <c r="A50" s="1"/>
  <c r="A60" s="1"/>
  <c r="D18" i="14"/>
  <c r="D17"/>
  <c r="D16"/>
  <c r="C18"/>
  <c r="C17"/>
  <c r="C16"/>
  <c r="G32" i="26"/>
  <c r="G33" s="1"/>
  <c r="F32"/>
  <c r="F33" s="1"/>
  <c r="A73"/>
  <c r="A54"/>
  <c r="A52"/>
  <c r="A53" s="1"/>
  <c r="B18"/>
  <c r="B16"/>
  <c r="B15"/>
  <c r="B32" i="3"/>
  <c r="B33" s="1"/>
  <c r="B34" s="1"/>
  <c r="B31"/>
  <c r="B26"/>
  <c r="B25"/>
  <c r="E8"/>
  <c r="D8"/>
  <c r="E16" i="14" l="1"/>
  <c r="E18"/>
  <c r="E17"/>
  <c r="D19"/>
  <c r="C19"/>
  <c r="E19" l="1"/>
  <c r="L46" i="4"/>
  <c r="E7"/>
  <c r="F7" s="1"/>
  <c r="H9"/>
  <c r="M9" s="1"/>
  <c r="F8" i="6"/>
  <c r="A45" i="13"/>
  <c r="A46" s="1"/>
  <c r="A47" s="1"/>
  <c r="A48" s="1"/>
  <c r="A49" s="1"/>
  <c r="C8"/>
  <c r="E8" s="1"/>
  <c r="D11" i="14"/>
  <c r="D10"/>
  <c r="D9"/>
  <c r="D38" i="10"/>
  <c r="D37"/>
  <c r="E37"/>
  <c r="D36"/>
  <c r="E36"/>
  <c r="F36"/>
  <c r="D35"/>
  <c r="E35"/>
  <c r="F35"/>
  <c r="G35"/>
  <c r="D34"/>
  <c r="E34"/>
  <c r="F34"/>
  <c r="G34"/>
  <c r="H34"/>
  <c r="D33"/>
  <c r="E33"/>
  <c r="F33"/>
  <c r="G33"/>
  <c r="H33"/>
  <c r="I33"/>
  <c r="D32"/>
  <c r="E32"/>
  <c r="F32"/>
  <c r="G32"/>
  <c r="H32"/>
  <c r="I32"/>
  <c r="J32"/>
  <c r="E31"/>
  <c r="F31"/>
  <c r="F55" s="1"/>
  <c r="G31"/>
  <c r="H31"/>
  <c r="H55" s="1"/>
  <c r="I31"/>
  <c r="I55" s="1"/>
  <c r="J31"/>
  <c r="J55" s="1"/>
  <c r="K31"/>
  <c r="K55" s="1"/>
  <c r="D31"/>
  <c r="D55" s="1"/>
  <c r="C32"/>
  <c r="C33"/>
  <c r="C34"/>
  <c r="C35"/>
  <c r="C36"/>
  <c r="C37"/>
  <c r="C38"/>
  <c r="C39"/>
  <c r="C31"/>
  <c r="K38" i="6"/>
  <c r="D6"/>
  <c r="E9" i="13"/>
  <c r="H19" i="15"/>
  <c r="H18"/>
  <c r="C26" i="18"/>
  <c r="A46" i="20"/>
  <c r="A47" s="1"/>
  <c r="C12" i="18"/>
  <c r="D12" s="1"/>
  <c r="E12" s="1"/>
  <c r="G12" s="1"/>
  <c r="D117" i="15"/>
  <c r="D118" s="1"/>
  <c r="A50" i="26"/>
  <c r="A51" s="1"/>
  <c r="A55" s="1"/>
  <c r="A56" s="1"/>
  <c r="A57" s="1"/>
  <c r="A60" s="1"/>
  <c r="A71" s="1"/>
  <c r="A72" s="1"/>
  <c r="A49"/>
  <c r="A48"/>
  <c r="D12" i="14" l="1"/>
  <c r="E9"/>
  <c r="E12" s="1"/>
  <c r="G55" i="10"/>
  <c r="E55"/>
  <c r="C55"/>
  <c r="C54"/>
  <c r="A38" i="1"/>
  <c r="A39" s="1"/>
  <c r="A40" s="1"/>
  <c r="A41" s="1"/>
  <c r="H57" i="15"/>
  <c r="H56"/>
  <c r="A54" i="17"/>
  <c r="F11" i="14"/>
  <c r="F10"/>
  <c r="F9"/>
  <c r="G9" s="1"/>
  <c r="C11"/>
  <c r="E11" s="1"/>
  <c r="C10"/>
  <c r="E10" s="1"/>
  <c r="C9"/>
  <c r="B45" i="25"/>
  <c r="B44"/>
  <c r="B41"/>
  <c r="E39" i="15"/>
  <c r="F39"/>
  <c r="D39"/>
  <c r="E30"/>
  <c r="F30"/>
  <c r="D30"/>
  <c r="E22"/>
  <c r="F22"/>
  <c r="D22"/>
  <c r="E21"/>
  <c r="F21"/>
  <c r="D21"/>
  <c r="E11"/>
  <c r="F11"/>
  <c r="D11"/>
  <c r="E10"/>
  <c r="F10"/>
  <c r="D10"/>
  <c r="G19" i="26"/>
  <c r="F13" i="15" s="1"/>
  <c r="F19" i="26"/>
  <c r="E13" i="15" s="1"/>
  <c r="E19" i="26"/>
  <c r="D13" i="15" s="1"/>
  <c r="G18" i="26"/>
  <c r="F24" i="15" s="1"/>
  <c r="F18" i="26"/>
  <c r="E24" i="15" s="1"/>
  <c r="E18" i="26"/>
  <c r="D24" i="15" s="1"/>
  <c r="G12" i="26"/>
  <c r="G11"/>
  <c r="F33" i="15" s="1"/>
  <c r="F12" i="26"/>
  <c r="F11"/>
  <c r="E33" i="15" s="1"/>
  <c r="E12" i="26"/>
  <c r="E11"/>
  <c r="D33" i="15" s="1"/>
  <c r="F23" i="26"/>
  <c r="G23"/>
  <c r="B12"/>
  <c r="B13" s="1"/>
  <c r="B14" s="1"/>
  <c r="B19" s="1"/>
  <c r="B20" s="1"/>
  <c r="B21" s="1"/>
  <c r="B24" s="1"/>
  <c r="B35" s="1"/>
  <c r="B36" s="1"/>
  <c r="B37" s="1"/>
  <c r="G11" i="14" l="1"/>
  <c r="G12" s="1"/>
  <c r="E34" i="26"/>
  <c r="G10" i="14"/>
  <c r="G34" i="26"/>
  <c r="F34"/>
  <c r="F12" i="14"/>
  <c r="D12" i="15"/>
  <c r="D14" s="1"/>
  <c r="D16" s="1"/>
  <c r="H58"/>
  <c r="A42" i="1"/>
  <c r="A43" s="1"/>
  <c r="A44" s="1"/>
  <c r="A45" s="1"/>
  <c r="D13" i="17"/>
  <c r="A29" i="10"/>
  <c r="E18" i="11"/>
  <c r="A52" i="21"/>
  <c r="A28"/>
  <c r="A2" i="25"/>
  <c r="A1"/>
  <c r="A1" i="40" l="1"/>
  <c r="A1" i="39"/>
  <c r="A2" i="40"/>
  <c r="A2" i="39"/>
  <c r="A46" i="1"/>
  <c r="A47" s="1"/>
  <c r="A48" s="1"/>
  <c r="A49" s="1"/>
  <c r="A50" s="1"/>
  <c r="A51" s="1"/>
  <c r="A52" s="1"/>
  <c r="A53" s="1"/>
  <c r="A54" s="1"/>
  <c r="A55" s="1"/>
  <c r="A56" s="1"/>
  <c r="A57" s="1"/>
  <c r="A58" s="1"/>
  <c r="A59" s="1"/>
  <c r="B32" i="4"/>
  <c r="C32" s="1"/>
  <c r="C30" i="10"/>
  <c r="B31" i="4" l="1"/>
  <c r="C31" s="1"/>
  <c r="B65" i="3"/>
  <c r="B31" i="6"/>
  <c r="G24" i="15"/>
  <c r="G13"/>
  <c r="B2" i="24"/>
  <c r="B1"/>
  <c r="D12" i="23"/>
  <c r="E12" s="1"/>
  <c r="F12" s="1"/>
  <c r="G12" s="1"/>
  <c r="H12" s="1"/>
  <c r="I12" s="1"/>
  <c r="A24" s="1"/>
  <c r="D12" i="29"/>
  <c r="G59" i="23"/>
  <c r="G61"/>
  <c r="G62"/>
  <c r="G63"/>
  <c r="G64"/>
  <c r="G65"/>
  <c r="D29" i="20"/>
  <c r="E29" s="1"/>
  <c r="D9"/>
  <c r="E9" s="1"/>
  <c r="A32" s="1"/>
  <c r="A39" s="1"/>
  <c r="C25" i="18"/>
  <c r="C24"/>
  <c r="C23"/>
  <c r="C22"/>
  <c r="C21"/>
  <c r="D27"/>
  <c r="A10" i="17"/>
  <c r="A55" s="1"/>
  <c r="K29" i="1"/>
  <c r="B8"/>
  <c r="B22" i="16"/>
  <c r="C22" s="1"/>
  <c r="D22" s="1"/>
  <c r="E22" s="1"/>
  <c r="F22" s="1"/>
  <c r="G22" s="1"/>
  <c r="B10"/>
  <c r="H50" i="15"/>
  <c r="H46"/>
  <c r="H45"/>
  <c r="H37"/>
  <c r="H36"/>
  <c r="H28"/>
  <c r="H61" s="1"/>
  <c r="H63" s="1"/>
  <c r="K27" i="1" s="1"/>
  <c r="H27" i="15"/>
  <c r="H60" s="1"/>
  <c r="E42"/>
  <c r="F42"/>
  <c r="D42"/>
  <c r="A20"/>
  <c r="A29" s="1"/>
  <c r="A38" s="1"/>
  <c r="F41"/>
  <c r="E41"/>
  <c r="D41"/>
  <c r="G40"/>
  <c r="G39"/>
  <c r="G33"/>
  <c r="F32"/>
  <c r="F34" s="1"/>
  <c r="E32"/>
  <c r="E34" s="1"/>
  <c r="D32"/>
  <c r="D34" s="1"/>
  <c r="G31"/>
  <c r="G30"/>
  <c r="F23"/>
  <c r="F25" s="1"/>
  <c r="E23"/>
  <c r="E25" s="1"/>
  <c r="D23"/>
  <c r="D25" s="1"/>
  <c r="G22"/>
  <c r="G21"/>
  <c r="G11"/>
  <c r="G10"/>
  <c r="E12"/>
  <c r="E14" s="1"/>
  <c r="E16" s="1"/>
  <c r="F12"/>
  <c r="F14" s="1"/>
  <c r="F16" s="1"/>
  <c r="C12" i="14"/>
  <c r="C7"/>
  <c r="D7" s="1"/>
  <c r="E7" s="1"/>
  <c r="F7" s="1"/>
  <c r="G7" s="1"/>
  <c r="F12" i="13"/>
  <c r="H12" s="1"/>
  <c r="F13"/>
  <c r="H13" s="1"/>
  <c r="F14"/>
  <c r="H14" s="1"/>
  <c r="F15"/>
  <c r="H15" s="1"/>
  <c r="F11"/>
  <c r="H11" s="1"/>
  <c r="F8"/>
  <c r="C63" i="10"/>
  <c r="C19" i="12"/>
  <c r="A42"/>
  <c r="A41"/>
  <c r="B13"/>
  <c r="C13" s="1"/>
  <c r="A10" i="6"/>
  <c r="A11" s="1"/>
  <c r="A12" s="1"/>
  <c r="C65" i="3"/>
  <c r="C66"/>
  <c r="B32" i="6"/>
  <c r="A42" i="11"/>
  <c r="A41"/>
  <c r="B13"/>
  <c r="C13" s="1"/>
  <c r="D13" s="1"/>
  <c r="E13" s="1"/>
  <c r="E18" i="12"/>
  <c r="C18" i="11"/>
  <c r="C17" s="1"/>
  <c r="C16" s="1"/>
  <c r="C15" s="1"/>
  <c r="C15" i="12" s="1"/>
  <c r="D15" s="1"/>
  <c r="A11" i="4"/>
  <c r="A12" s="1"/>
  <c r="A13" s="1"/>
  <c r="A14" s="1"/>
  <c r="H33"/>
  <c r="M33" s="1"/>
  <c r="H62" i="15" l="1"/>
  <c r="K25" i="1"/>
  <c r="F43" i="15"/>
  <c r="D43"/>
  <c r="E43"/>
  <c r="E17" i="18"/>
  <c r="E19"/>
  <c r="E21"/>
  <c r="E23"/>
  <c r="E25"/>
  <c r="E15"/>
  <c r="E16"/>
  <c r="E18"/>
  <c r="E20"/>
  <c r="E22"/>
  <c r="E24"/>
  <c r="E26"/>
  <c r="E14"/>
  <c r="H32" i="4"/>
  <c r="M32" s="1"/>
  <c r="D66" i="3"/>
  <c r="E66" s="1"/>
  <c r="D64"/>
  <c r="C10" i="16"/>
  <c r="D10" s="1"/>
  <c r="E10" s="1"/>
  <c r="F10" s="1"/>
  <c r="G10" s="1"/>
  <c r="A39"/>
  <c r="A40" s="1"/>
  <c r="A41" s="1"/>
  <c r="A42" s="1"/>
  <c r="A43" s="1"/>
  <c r="A44" s="1"/>
  <c r="B30" i="4"/>
  <c r="C30" s="1"/>
  <c r="B64" i="3"/>
  <c r="B30" i="6"/>
  <c r="D57" i="3"/>
  <c r="A15" i="4"/>
  <c r="A16" s="1"/>
  <c r="A17" s="1"/>
  <c r="A18" s="1"/>
  <c r="D65" i="3"/>
  <c r="E65" s="1"/>
  <c r="F32" i="6"/>
  <c r="B14" i="14"/>
  <c r="C14" s="1"/>
  <c r="D14" s="1"/>
  <c r="E14" s="1"/>
  <c r="A34" i="23"/>
  <c r="D10" i="3"/>
  <c r="A31" i="10"/>
  <c r="A11" i="17"/>
  <c r="K45" i="10"/>
  <c r="H52"/>
  <c r="F50"/>
  <c r="I54"/>
  <c r="G54"/>
  <c r="E53"/>
  <c r="A47" i="15"/>
  <c r="A51" s="1"/>
  <c r="A55" s="1"/>
  <c r="A59" s="1"/>
  <c r="A63" s="1"/>
  <c r="A65" s="1"/>
  <c r="H46" i="10"/>
  <c r="J45"/>
  <c r="G45"/>
  <c r="G46"/>
  <c r="G52"/>
  <c r="G51"/>
  <c r="F52"/>
  <c r="D19" i="12"/>
  <c r="E19"/>
  <c r="F19" s="1"/>
  <c r="G42" i="15"/>
  <c r="C17" i="12"/>
  <c r="D17" s="1"/>
  <c r="C18"/>
  <c r="D18" s="1"/>
  <c r="C16"/>
  <c r="D16" s="1"/>
  <c r="G12" i="15"/>
  <c r="G14" s="1"/>
  <c r="G16" s="1"/>
  <c r="G23"/>
  <c r="G25" s="1"/>
  <c r="G41"/>
  <c r="G32"/>
  <c r="G34" s="1"/>
  <c r="A41" i="14"/>
  <c r="A42" s="1"/>
  <c r="A43" s="1"/>
  <c r="A44" s="1"/>
  <c r="A45" s="1"/>
  <c r="A46" s="1"/>
  <c r="A47" s="1"/>
  <c r="A48" s="1"/>
  <c r="A49" s="1"/>
  <c r="A50" s="1"/>
  <c r="G8" i="13"/>
  <c r="D13" i="12"/>
  <c r="E13" s="1"/>
  <c r="F13" s="1"/>
  <c r="G13" s="1"/>
  <c r="A22" s="1"/>
  <c r="A43"/>
  <c r="A44" s="1"/>
  <c r="A45" s="1"/>
  <c r="A46" s="1"/>
  <c r="A47" s="1"/>
  <c r="F18"/>
  <c r="A13" i="6"/>
  <c r="A43" i="11"/>
  <c r="A44" s="1"/>
  <c r="A45" s="1"/>
  <c r="A46" s="1"/>
  <c r="A47" s="1"/>
  <c r="E17"/>
  <c r="F13"/>
  <c r="G13" s="1"/>
  <c r="A22" s="1"/>
  <c r="A69" i="15" l="1"/>
  <c r="A78" s="1"/>
  <c r="A86" s="1"/>
  <c r="A94" s="1"/>
  <c r="A102" s="1"/>
  <c r="H8" i="13"/>
  <c r="A25" s="1"/>
  <c r="G43" i="15"/>
  <c r="B29" i="4"/>
  <c r="C29" s="1"/>
  <c r="B63" i="3"/>
  <c r="B29" i="6"/>
  <c r="A19" i="4"/>
  <c r="D11" i="3"/>
  <c r="E45" i="10"/>
  <c r="E49"/>
  <c r="F51"/>
  <c r="E54"/>
  <c r="I53"/>
  <c r="E51"/>
  <c r="E46"/>
  <c r="F45"/>
  <c r="F49"/>
  <c r="H45"/>
  <c r="E52"/>
  <c r="E50"/>
  <c r="J54"/>
  <c r="F46"/>
  <c r="I45"/>
  <c r="E47"/>
  <c r="G50"/>
  <c r="I46"/>
  <c r="G49"/>
  <c r="E48"/>
  <c r="H51"/>
  <c r="A12" i="17"/>
  <c r="A56"/>
  <c r="H53" i="10"/>
  <c r="H54"/>
  <c r="C47"/>
  <c r="C52"/>
  <c r="C49"/>
  <c r="F54"/>
  <c r="G53"/>
  <c r="F53"/>
  <c r="A32"/>
  <c r="D45"/>
  <c r="D54"/>
  <c r="D46"/>
  <c r="D52"/>
  <c r="D47"/>
  <c r="C45"/>
  <c r="C53"/>
  <c r="D50"/>
  <c r="C46"/>
  <c r="C51"/>
  <c r="C50"/>
  <c r="D49"/>
  <c r="D53"/>
  <c r="D51"/>
  <c r="C48"/>
  <c r="D48"/>
  <c r="G19" i="12"/>
  <c r="D14" i="1" s="1"/>
  <c r="E27" i="18"/>
  <c r="G18" i="12"/>
  <c r="D13" i="1" s="1"/>
  <c r="E16" i="11"/>
  <c r="E17" i="12"/>
  <c r="D63" i="10"/>
  <c r="C44"/>
  <c r="C59" s="1"/>
  <c r="D30"/>
  <c r="D44" s="1"/>
  <c r="D59" s="1"/>
  <c r="F17" i="12"/>
  <c r="G17" s="1"/>
  <c r="D12" i="1" s="1"/>
  <c r="A14" i="6"/>
  <c r="B28" i="4" l="1"/>
  <c r="C28" s="1"/>
  <c r="B62" i="3"/>
  <c r="B28" i="6"/>
  <c r="F28" s="1"/>
  <c r="A20" i="4"/>
  <c r="D12" i="3"/>
  <c r="A13" i="17"/>
  <c r="A57"/>
  <c r="A33" i="10"/>
  <c r="E15" i="11"/>
  <c r="E16" i="12"/>
  <c r="F16" s="1"/>
  <c r="G16" s="1"/>
  <c r="D11" i="1" s="1"/>
  <c r="E11" s="1"/>
  <c r="E11" i="13"/>
  <c r="B15" i="12"/>
  <c r="B15" i="11"/>
  <c r="C10" i="3"/>
  <c r="E63" i="10"/>
  <c r="E30"/>
  <c r="E44" s="1"/>
  <c r="E59" s="1"/>
  <c r="A15" i="6"/>
  <c r="C60" i="3"/>
  <c r="C46"/>
  <c r="C47"/>
  <c r="C48"/>
  <c r="C49"/>
  <c r="C50"/>
  <c r="C51"/>
  <c r="C52"/>
  <c r="C53"/>
  <c r="C54"/>
  <c r="C55"/>
  <c r="C56"/>
  <c r="C57"/>
  <c r="E57" s="1"/>
  <c r="C58"/>
  <c r="C59"/>
  <c r="C61"/>
  <c r="C62"/>
  <c r="C63"/>
  <c r="C64"/>
  <c r="E64" s="1"/>
  <c r="F31" i="6"/>
  <c r="F30"/>
  <c r="F29"/>
  <c r="P46" i="4"/>
  <c r="B27" l="1"/>
  <c r="C27" s="1"/>
  <c r="B61" i="3"/>
  <c r="B27" i="6"/>
  <c r="F27" s="1"/>
  <c r="A23" i="14"/>
  <c r="A24" s="1"/>
  <c r="C10" i="11"/>
  <c r="A21" i="4"/>
  <c r="D13" i="3"/>
  <c r="A14" i="17"/>
  <c r="A58"/>
  <c r="A34" i="10"/>
  <c r="E15" i="12"/>
  <c r="F15" s="1"/>
  <c r="G15" s="1"/>
  <c r="D10" i="1" s="1"/>
  <c r="E10" s="1"/>
  <c r="F30" i="10"/>
  <c r="F44" s="1"/>
  <c r="F59" s="1"/>
  <c r="F63"/>
  <c r="A16" i="6"/>
  <c r="D14" i="3" l="1"/>
  <c r="D26"/>
  <c r="D38" i="25" s="1"/>
  <c r="B38"/>
  <c r="F15" i="11"/>
  <c r="D21" i="3"/>
  <c r="D19"/>
  <c r="D18"/>
  <c r="D20"/>
  <c r="B26" i="4"/>
  <c r="C26" s="1"/>
  <c r="B60" i="3"/>
  <c r="B26" i="6"/>
  <c r="F26" s="1"/>
  <c r="F19" i="11"/>
  <c r="F18"/>
  <c r="F17"/>
  <c r="F16"/>
  <c r="A22" i="4"/>
  <c r="A59" i="17"/>
  <c r="A15"/>
  <c r="A35" i="10"/>
  <c r="G63"/>
  <c r="G30"/>
  <c r="G44" s="1"/>
  <c r="G59" s="1"/>
  <c r="A17" i="6"/>
  <c r="D12" i="17" l="1"/>
  <c r="D14" s="1"/>
  <c r="K30" i="1" s="1"/>
  <c r="A60" i="17"/>
  <c r="A17"/>
  <c r="A23" s="1"/>
  <c r="A32" s="1"/>
  <c r="A43" s="1"/>
  <c r="B25" i="4"/>
  <c r="C25" s="1"/>
  <c r="B59" i="3"/>
  <c r="B25" i="6"/>
  <c r="F25" s="1"/>
  <c r="A23" i="4"/>
  <c r="A36" i="10"/>
  <c r="H30"/>
  <c r="H44" s="1"/>
  <c r="H59" s="1"/>
  <c r="H63"/>
  <c r="A18" i="6"/>
  <c r="B24" i="4" l="1"/>
  <c r="C24" s="1"/>
  <c r="B58" i="3"/>
  <c r="A24" i="4"/>
  <c r="A37" i="10"/>
  <c r="I63"/>
  <c r="I30"/>
  <c r="I44" s="1"/>
  <c r="I59" s="1"/>
  <c r="A19" i="6"/>
  <c r="P45" i="4"/>
  <c r="C9" i="11" s="1"/>
  <c r="D47" i="3"/>
  <c r="E47" s="1"/>
  <c r="D49"/>
  <c r="E49" s="1"/>
  <c r="D51"/>
  <c r="E51" s="1"/>
  <c r="D53"/>
  <c r="E53" s="1"/>
  <c r="D55"/>
  <c r="E55" s="1"/>
  <c r="D46"/>
  <c r="E46" s="1"/>
  <c r="H26" i="4"/>
  <c r="M26" s="1"/>
  <c r="H27"/>
  <c r="M27" s="1"/>
  <c r="H28"/>
  <c r="M28" s="1"/>
  <c r="H29"/>
  <c r="M29" s="1"/>
  <c r="H30"/>
  <c r="M30" s="1"/>
  <c r="H31"/>
  <c r="M31" s="1"/>
  <c r="C2" i="3"/>
  <c r="C1"/>
  <c r="C8" i="1"/>
  <c r="D8" s="1"/>
  <c r="E8" s="1"/>
  <c r="F8" s="1"/>
  <c r="G8" s="1"/>
  <c r="H8" s="1"/>
  <c r="I8" s="1"/>
  <c r="E12"/>
  <c r="E13"/>
  <c r="E14"/>
  <c r="F57" i="23" s="1"/>
  <c r="G57" s="1"/>
  <c r="F15" i="1"/>
  <c r="B15"/>
  <c r="B37" i="25" l="1"/>
  <c r="D25" i="3"/>
  <c r="D37" i="25" s="1"/>
  <c r="D63" i="3"/>
  <c r="E63" s="1"/>
  <c r="D61"/>
  <c r="E61" s="1"/>
  <c r="D59"/>
  <c r="E59" s="1"/>
  <c r="J8" i="1"/>
  <c r="K8" s="1"/>
  <c r="G21" s="1"/>
  <c r="G22" s="1"/>
  <c r="G23" s="1"/>
  <c r="G24" s="1"/>
  <c r="G25" s="1"/>
  <c r="G26" s="1"/>
  <c r="G27" s="1"/>
  <c r="G28" s="1"/>
  <c r="G29" s="1"/>
  <c r="G30" s="1"/>
  <c r="G31" s="1"/>
  <c r="G33" s="1"/>
  <c r="H25" i="4"/>
  <c r="M25" s="1"/>
  <c r="B24" i="6"/>
  <c r="F24" s="1"/>
  <c r="B23" i="4"/>
  <c r="C23" s="1"/>
  <c r="B57" i="3"/>
  <c r="A25" i="4"/>
  <c r="G58" i="23"/>
  <c r="A38" i="10"/>
  <c r="B18" i="12"/>
  <c r="E14" i="13"/>
  <c r="B18" i="11"/>
  <c r="B16" i="12"/>
  <c r="E12" i="13"/>
  <c r="B16" i="11"/>
  <c r="E15" i="13"/>
  <c r="B19" i="11"/>
  <c r="C68" i="3" s="1"/>
  <c r="B19" i="12"/>
  <c r="E13" i="13"/>
  <c r="B17" i="11"/>
  <c r="B17" i="12"/>
  <c r="C14" i="3"/>
  <c r="C12"/>
  <c r="C13"/>
  <c r="C11"/>
  <c r="J30" i="10"/>
  <c r="J44" s="1"/>
  <c r="J59" s="1"/>
  <c r="J63"/>
  <c r="A20" i="6"/>
  <c r="D48" i="3"/>
  <c r="E48" s="1"/>
  <c r="C2" i="4"/>
  <c r="B2" i="6"/>
  <c r="A2" i="10" s="1"/>
  <c r="B2" i="16" s="1"/>
  <c r="A2" i="36" s="1"/>
  <c r="C1" i="4"/>
  <c r="B1" i="6"/>
  <c r="A1" i="10" s="1"/>
  <c r="B1" i="16" s="1"/>
  <c r="D62" i="3"/>
  <c r="E62" s="1"/>
  <c r="D60"/>
  <c r="E60" s="1"/>
  <c r="D56"/>
  <c r="E56" s="1"/>
  <c r="D52"/>
  <c r="E52" s="1"/>
  <c r="E15" i="1"/>
  <c r="D58" i="3"/>
  <c r="E58" s="1"/>
  <c r="D54"/>
  <c r="E54" s="1"/>
  <c r="D50"/>
  <c r="E50" s="1"/>
  <c r="A1" i="36" l="1"/>
  <c r="A1" i="21"/>
  <c r="F66" i="23"/>
  <c r="B23" i="6"/>
  <c r="F23" s="1"/>
  <c r="H24" i="4"/>
  <c r="M24" s="1"/>
  <c r="B22"/>
  <c r="C22" s="1"/>
  <c r="B56" i="3"/>
  <c r="D17" i="11"/>
  <c r="G17" s="1"/>
  <c r="H12" i="1" s="1"/>
  <c r="I12" s="1"/>
  <c r="D15" i="11"/>
  <c r="G15" s="1"/>
  <c r="H10" i="1" s="1"/>
  <c r="I10" s="1"/>
  <c r="D16" i="11"/>
  <c r="G16" s="1"/>
  <c r="H11" i="1" s="1"/>
  <c r="I11" s="1"/>
  <c r="D19" i="11"/>
  <c r="G19" s="1"/>
  <c r="H14" i="1" s="1"/>
  <c r="I14" s="1"/>
  <c r="D18" i="11"/>
  <c r="G18" s="1"/>
  <c r="H13" i="1" s="1"/>
  <c r="I13" s="1"/>
  <c r="A26" i="4"/>
  <c r="A40" i="10"/>
  <c r="A39"/>
  <c r="A2" i="21"/>
  <c r="B2" i="20"/>
  <c r="B2" i="17"/>
  <c r="B1"/>
  <c r="B1" i="20"/>
  <c r="A1" i="5"/>
  <c r="B1" i="13"/>
  <c r="B1" i="12"/>
  <c r="B1" i="11"/>
  <c r="B1" i="14"/>
  <c r="A1" i="15" s="1"/>
  <c r="A2" i="5"/>
  <c r="B2" i="14"/>
  <c r="A2" i="15" s="1"/>
  <c r="B2" i="13"/>
  <c r="B2" i="12"/>
  <c r="B2" i="11"/>
  <c r="K63" i="10"/>
  <c r="K30"/>
  <c r="K44" s="1"/>
  <c r="K59" s="1"/>
  <c r="A21" i="6"/>
  <c r="K15" i="1"/>
  <c r="K16" s="1"/>
  <c r="G66" i="23" l="1"/>
  <c r="K23" i="1" s="1"/>
  <c r="J13"/>
  <c r="E13" i="3" s="1"/>
  <c r="J12" i="1"/>
  <c r="E12" i="3" s="1"/>
  <c r="J11" i="1"/>
  <c r="E11" i="3" s="1"/>
  <c r="J14" i="1"/>
  <c r="E14" i="3" s="1"/>
  <c r="J10" i="1"/>
  <c r="E10" i="3" s="1"/>
  <c r="B1" i="18"/>
  <c r="A1" i="19" s="1"/>
  <c r="B1" i="31"/>
  <c r="B2" i="18"/>
  <c r="A2" i="19" s="1"/>
  <c r="B2" i="31"/>
  <c r="B22" i="6"/>
  <c r="F22" s="1"/>
  <c r="H23" i="4"/>
  <c r="M23" s="1"/>
  <c r="B21"/>
  <c r="C21" s="1"/>
  <c r="B55" i="3"/>
  <c r="I15" i="1"/>
  <c r="J15" s="1"/>
  <c r="A27" i="4"/>
  <c r="A28" s="1"/>
  <c r="A1" i="26"/>
  <c r="B1" i="29"/>
  <c r="B1" i="37" s="1"/>
  <c r="B1" i="38" s="1"/>
  <c r="A2" i="26"/>
  <c r="B2" i="29"/>
  <c r="B2" i="37" s="1"/>
  <c r="B2" i="38" s="1"/>
  <c r="A22" i="6"/>
  <c r="K21" i="1" l="1"/>
  <c r="K26" s="1"/>
  <c r="B21" i="6"/>
  <c r="F21" s="1"/>
  <c r="H22" i="4"/>
  <c r="M22" s="1"/>
  <c r="B20"/>
  <c r="C20" s="1"/>
  <c r="B54" i="3"/>
  <c r="A29" i="4"/>
  <c r="A23" i="6"/>
  <c r="K28" i="1" l="1"/>
  <c r="K31" s="1"/>
  <c r="B32" i="25" s="1"/>
  <c r="C33" s="1"/>
  <c r="B20" i="6"/>
  <c r="F20" s="1"/>
  <c r="H21" i="4"/>
  <c r="M21" s="1"/>
  <c r="B19"/>
  <c r="C19" s="1"/>
  <c r="B53" i="3"/>
  <c r="A30" i="4"/>
  <c r="A24" i="6"/>
  <c r="B18" i="4" l="1"/>
  <c r="C18" s="1"/>
  <c r="B52" i="3"/>
  <c r="B19" i="6"/>
  <c r="F19" s="1"/>
  <c r="H20" i="4"/>
  <c r="M20" s="1"/>
  <c r="A31"/>
  <c r="A25" i="6"/>
  <c r="B18" l="1"/>
  <c r="F18" s="1"/>
  <c r="H19" i="4"/>
  <c r="M19" s="1"/>
  <c r="B17"/>
  <c r="C17" s="1"/>
  <c r="B51" i="3"/>
  <c r="A32" i="4"/>
  <c r="A26" i="6"/>
  <c r="B17" l="1"/>
  <c r="F17" s="1"/>
  <c r="H18" i="4"/>
  <c r="M18" s="1"/>
  <c r="B16"/>
  <c r="C16" s="1"/>
  <c r="B50" i="3"/>
  <c r="A33" i="4"/>
  <c r="A27" i="6"/>
  <c r="O38" i="4" l="1"/>
  <c r="P38"/>
  <c r="O39"/>
  <c r="P39"/>
  <c r="N39"/>
  <c r="N38"/>
  <c r="P40"/>
  <c r="O40"/>
  <c r="N40"/>
  <c r="P41"/>
  <c r="O41"/>
  <c r="N41"/>
  <c r="P42"/>
  <c r="O42"/>
  <c r="N42"/>
  <c r="P43"/>
  <c r="O43"/>
  <c r="N43"/>
  <c r="B16" i="6"/>
  <c r="F16" s="1"/>
  <c r="H17" i="4"/>
  <c r="M17" s="1"/>
  <c r="B15"/>
  <c r="C15" s="1"/>
  <c r="B49" i="3"/>
  <c r="A28" i="6"/>
  <c r="B14" i="4" l="1"/>
  <c r="C14" s="1"/>
  <c r="B48" i="3"/>
  <c r="B15" i="6"/>
  <c r="F15" s="1"/>
  <c r="H16" i="4"/>
  <c r="M16" s="1"/>
  <c r="A29" i="6"/>
  <c r="B14" l="1"/>
  <c r="F14" s="1"/>
  <c r="H15" i="4"/>
  <c r="M15" s="1"/>
  <c r="B13"/>
  <c r="C13" s="1"/>
  <c r="B47" i="3"/>
  <c r="A30" i="6"/>
  <c r="B12" i="4" l="1"/>
  <c r="C12" s="1"/>
  <c r="B46" i="3"/>
  <c r="B13" i="6"/>
  <c r="F13" s="1"/>
  <c r="H14" i="4"/>
  <c r="M14" s="1"/>
  <c r="A31" i="6"/>
  <c r="B12" l="1"/>
  <c r="F12" s="1"/>
  <c r="H13" i="4"/>
  <c r="M13" s="1"/>
  <c r="B11"/>
  <c r="C11" s="1"/>
  <c r="A32" i="6"/>
  <c r="M27" l="1"/>
  <c r="M28"/>
  <c r="M29"/>
  <c r="M30"/>
  <c r="M31"/>
  <c r="M32"/>
  <c r="B10" i="4"/>
  <c r="C10" s="1"/>
  <c r="B11" i="6"/>
  <c r="F11" s="1"/>
  <c r="H12" i="4"/>
  <c r="A36" i="23"/>
  <c r="A40" s="1"/>
  <c r="A42" s="1"/>
  <c r="B55" s="1"/>
  <c r="D55" s="1"/>
  <c r="E55" l="1"/>
  <c r="F55" s="1"/>
  <c r="G55" s="1"/>
  <c r="H55" s="1"/>
  <c r="I55" s="1"/>
  <c r="A68" s="1"/>
  <c r="A71" s="1"/>
  <c r="B9" i="6"/>
  <c r="F9" s="1"/>
  <c r="H10" i="4"/>
  <c r="B10" i="6"/>
  <c r="F10" s="1"/>
  <c r="H11" i="4"/>
</calcChain>
</file>

<file path=xl/sharedStrings.xml><?xml version="1.0" encoding="utf-8"?>
<sst xmlns="http://schemas.openxmlformats.org/spreadsheetml/2006/main" count="1342" uniqueCount="919">
  <si>
    <t>Premium Trend Factor</t>
  </si>
  <si>
    <t>Loss Trend Factor</t>
  </si>
  <si>
    <t>(1)</t>
  </si>
  <si>
    <t>Earned Premium</t>
  </si>
  <si>
    <t>Loss Development Factor</t>
  </si>
  <si>
    <t>Fixed Expense Provision</t>
  </si>
  <si>
    <t>Credibility</t>
  </si>
  <si>
    <t>Indicated Rate Level Change</t>
  </si>
  <si>
    <t>Total</t>
  </si>
  <si>
    <t>Texas Department of Insurance</t>
  </si>
  <si>
    <t>Exhibit 1 - Overall Indication</t>
  </si>
  <si>
    <t>Property and Casualty Rate Filing Exhibits</t>
  </si>
  <si>
    <t>Home - 1</t>
  </si>
  <si>
    <t>Complement of Credibility</t>
  </si>
  <si>
    <t>Credibility-Weighted Indicated Rate Level Change</t>
  </si>
  <si>
    <t>Proposed Rate Level Change</t>
  </si>
  <si>
    <t>Exponential Trend</t>
  </si>
  <si>
    <t>Selected</t>
  </si>
  <si>
    <t>Historical</t>
  </si>
  <si>
    <t>Prospective</t>
  </si>
  <si>
    <t>4-year</t>
  </si>
  <si>
    <t>5-year</t>
  </si>
  <si>
    <t>3-year</t>
  </si>
  <si>
    <t>2-year</t>
  </si>
  <si>
    <t>Frequency</t>
  </si>
  <si>
    <t>Severity</t>
  </si>
  <si>
    <t>Pure Premium</t>
  </si>
  <si>
    <t>Claims</t>
  </si>
  <si>
    <t>Losses</t>
  </si>
  <si>
    <t>20-point</t>
  </si>
  <si>
    <t>16-point</t>
  </si>
  <si>
    <t>12-point</t>
  </si>
  <si>
    <t>8-point</t>
  </si>
  <si>
    <t>Index</t>
  </si>
  <si>
    <t>Underlying Data</t>
  </si>
  <si>
    <t>4-point</t>
  </si>
  <si>
    <t>Quarterly</t>
  </si>
  <si>
    <t>Evaluation Month</t>
  </si>
  <si>
    <t>Development Period</t>
  </si>
  <si>
    <t>All Year Average</t>
  </si>
  <si>
    <t>All Year Ex Hi/Lo</t>
  </si>
  <si>
    <t>7 Year</t>
  </si>
  <si>
    <t>7 Year Ex Hi/Lo</t>
  </si>
  <si>
    <t>5 Year</t>
  </si>
  <si>
    <t>5 Year Ex Hi/Lo</t>
  </si>
  <si>
    <t>4 Year</t>
  </si>
  <si>
    <t>4 Year Ex Hi/Lo</t>
  </si>
  <si>
    <t>3 Year</t>
  </si>
  <si>
    <t>2 Year</t>
  </si>
  <si>
    <t>Average</t>
  </si>
  <si>
    <t>6-point</t>
  </si>
  <si>
    <t>Historical Trending Period</t>
  </si>
  <si>
    <t>Selected Loss Trend</t>
  </si>
  <si>
    <t>Prospective Trending Period</t>
  </si>
  <si>
    <t>Historical Loss Trend Factor</t>
  </si>
  <si>
    <t>Prospective Loss Trend Factor</t>
  </si>
  <si>
    <t>= (5) x (7)</t>
  </si>
  <si>
    <t>Selected Premium Trend</t>
  </si>
  <si>
    <t>Historical Premium Trend Factor</t>
  </si>
  <si>
    <t>Prospective Premium Trend Factor</t>
  </si>
  <si>
    <t>Earned Premium at Current Rate Level</t>
  </si>
  <si>
    <t>Age-to-Age Factors</t>
  </si>
  <si>
    <t>Various Averages</t>
  </si>
  <si>
    <t>Selected Age-to-Age</t>
  </si>
  <si>
    <t>Age-to-Ultimate</t>
  </si>
  <si>
    <t>Effective Date</t>
  </si>
  <si>
    <t>Rate Change</t>
  </si>
  <si>
    <t>Rate Change History</t>
  </si>
  <si>
    <t>Current Rate Level Factor</t>
  </si>
  <si>
    <t>Calendar Year</t>
  </si>
  <si>
    <t>General Expense</t>
  </si>
  <si>
    <t>Countrywide Expenses</t>
  </si>
  <si>
    <t>Disallowed Expenses</t>
  </si>
  <si>
    <t>Adjusted Countrywide Expenses</t>
  </si>
  <si>
    <t>Percent Assumed Fixed</t>
  </si>
  <si>
    <t>Countrywide Earned Premium</t>
  </si>
  <si>
    <t>Expense Category</t>
  </si>
  <si>
    <t>Other Acquisition</t>
  </si>
  <si>
    <t>Countrywide Written Premium</t>
  </si>
  <si>
    <t>Commission and Brokerage</t>
  </si>
  <si>
    <t>Statewide Expenses</t>
  </si>
  <si>
    <t>Adjusted Statewide Expenses</t>
  </si>
  <si>
    <t>Statewide Written Premium</t>
  </si>
  <si>
    <t>Net Cost of Reinsurance</t>
  </si>
  <si>
    <t>Total Expense Provisions</t>
  </si>
  <si>
    <t>Variable Permissible Loss Ratio</t>
  </si>
  <si>
    <t>Direct Premiums Written</t>
  </si>
  <si>
    <t>Direct Premiums Earned</t>
  </si>
  <si>
    <t>Direct Losses and DCCE Paid</t>
  </si>
  <si>
    <t>Direct Losses and DCCE Incurred</t>
  </si>
  <si>
    <t>Incurred Loss and DCCE Ratio</t>
  </si>
  <si>
    <t>Net Trend</t>
  </si>
  <si>
    <t>Trend Period</t>
  </si>
  <si>
    <t>Rate Change Interval</t>
  </si>
  <si>
    <t># of Policies</t>
  </si>
  <si>
    <t>% of Policies</t>
  </si>
  <si>
    <t>No Change</t>
  </si>
  <si>
    <t>Description</t>
  </si>
  <si>
    <t>Effective Date (Renewal)</t>
  </si>
  <si>
    <t>Effective Date (New)</t>
  </si>
  <si>
    <t>Variable</t>
  </si>
  <si>
    <t>Form/Coverage:</t>
  </si>
  <si>
    <t>Type of Loss</t>
  </si>
  <si>
    <t>Exposure Distribution as of:</t>
  </si>
  <si>
    <t>Overall Proposed</t>
  </si>
  <si>
    <t>Net</t>
  </si>
  <si>
    <t>Premium</t>
  </si>
  <si>
    <t>Loss</t>
  </si>
  <si>
    <t>Trend Selections</t>
  </si>
  <si>
    <t>Annual</t>
  </si>
  <si>
    <t>Semi-Annual</t>
  </si>
  <si>
    <t>Select</t>
  </si>
  <si>
    <t>Countrywide (IEE, Part III)</t>
  </si>
  <si>
    <t>Commission and Brokerage Expenses Incurred</t>
  </si>
  <si>
    <t>Taxes, Licenses, and Fees Incurred</t>
  </si>
  <si>
    <t>Texas (Annual Statement Statutory Page 14)</t>
  </si>
  <si>
    <t>Other Acquisition Expenses Incurred</t>
  </si>
  <si>
    <t>a)</t>
  </si>
  <si>
    <t>b)</t>
  </si>
  <si>
    <t>c)</t>
  </si>
  <si>
    <t>d)</t>
  </si>
  <si>
    <t>e)</t>
  </si>
  <si>
    <t>f)</t>
  </si>
  <si>
    <t>g)</t>
  </si>
  <si>
    <t>h)</t>
  </si>
  <si>
    <t>Disallowed Advertising Expenses</t>
  </si>
  <si>
    <t>Adjusted Other Acquisition Expenses Incurred</t>
  </si>
  <si>
    <t>General Expenses Incurred</t>
  </si>
  <si>
    <t>Loss Control &amp; Safety Engineering Expenses</t>
  </si>
  <si>
    <t>Lobbying Expenses</t>
  </si>
  <si>
    <t>Amounts Paid by an Insurer as Damages in a Suit Against the Insurer for Bad Faith or as Fines or Penalties for Violation of Law</t>
  </si>
  <si>
    <t>Contributions to Organizations Engaged in Legislative Advocacy</t>
  </si>
  <si>
    <t>Fees &amp; Penalties Imposed on the Insurer for Civil or Criminal Violations of Law</t>
  </si>
  <si>
    <t>Fees &amp; Assessments Paid to Advisory Organizations</t>
  </si>
  <si>
    <t>Disallowed General Expenses</t>
  </si>
  <si>
    <t>i)</t>
  </si>
  <si>
    <t>Countrywide Incurred A&amp;O</t>
  </si>
  <si>
    <t>A&amp;O Ratio</t>
  </si>
  <si>
    <t>Taxes, Licenses, and Fees</t>
  </si>
  <si>
    <t>Expense Offset from Fee Income</t>
  </si>
  <si>
    <t xml:space="preserve">Company:  </t>
  </si>
  <si>
    <t>Selected Tail Factor</t>
  </si>
  <si>
    <t>General Expense Provision</t>
  </si>
  <si>
    <t>Maximum Policyholder Impact</t>
  </si>
  <si>
    <t>Minimum Policyholder Impact</t>
  </si>
  <si>
    <t>Company-provided</t>
  </si>
  <si>
    <t>Parallelogram Method</t>
  </si>
  <si>
    <t>Re-Rating Policies</t>
  </si>
  <si>
    <t>Other</t>
  </si>
  <si>
    <t>Selected Net Trend</t>
  </si>
  <si>
    <t>Number of years between effective dates of current rates and proposed rates</t>
  </si>
  <si>
    <t>Policy</t>
  </si>
  <si>
    <t>Late</t>
  </si>
  <si>
    <t>Installment</t>
  </si>
  <si>
    <t>Inspection</t>
  </si>
  <si>
    <t>Reinstatement</t>
  </si>
  <si>
    <t>Variable Expense Offset as a Percentage of the Premium Used to Calculate the Expense Category:</t>
  </si>
  <si>
    <t>Company-provided, if desired</t>
  </si>
  <si>
    <t>Column/Row Descriptions</t>
  </si>
  <si>
    <t>= (6) x (7) x (8)</t>
  </si>
  <si>
    <t>= (2) x (3) x (4)</t>
  </si>
  <si>
    <t>= (9) / (5)</t>
  </si>
  <si>
    <t>From Exhibit E-Expense</t>
  </si>
  <si>
    <t>Purpose</t>
  </si>
  <si>
    <t>Instructions for Completion</t>
  </si>
  <si>
    <t>General</t>
  </si>
  <si>
    <t xml:space="preserve">Complete this workbook and provide additional support as described below. </t>
  </si>
  <si>
    <t>Yes</t>
  </si>
  <si>
    <t>No</t>
  </si>
  <si>
    <t>Are any counties split into two or more territories?</t>
  </si>
  <si>
    <t>Does this program use insurance score information for rating purposes?</t>
  </si>
  <si>
    <t>Filing Contents</t>
  </si>
  <si>
    <t>Complete rate manual including rates and all supplementary rating information.</t>
  </si>
  <si>
    <t>Base rates</t>
  </si>
  <si>
    <t>Territory factors (or territory rates if factors are combined into base rate)</t>
  </si>
  <si>
    <t>Classification factors</t>
  </si>
  <si>
    <t>Rating schedule (algorithm)</t>
  </si>
  <si>
    <t>Rates for endorsements</t>
  </si>
  <si>
    <t>Rules for discounts or surcharges including amounts</t>
  </si>
  <si>
    <t>Territory codes and descriptions</t>
  </si>
  <si>
    <t>E-Expense</t>
  </si>
  <si>
    <t>Included with Earned Premium</t>
  </si>
  <si>
    <t>Fully Earned</t>
  </si>
  <si>
    <t>County</t>
  </si>
  <si>
    <t>Harris</t>
  </si>
  <si>
    <t>Galveston</t>
  </si>
  <si>
    <t>Nueces</t>
  </si>
  <si>
    <t>Aransas</t>
  </si>
  <si>
    <t>Brazoria</t>
  </si>
  <si>
    <t>Calhoun</t>
  </si>
  <si>
    <t>Cameron</t>
  </si>
  <si>
    <t>Chambers</t>
  </si>
  <si>
    <t>Jefferson</t>
  </si>
  <si>
    <t>Kenedy</t>
  </si>
  <si>
    <t>Kleberg</t>
  </si>
  <si>
    <t>Matagorda</t>
  </si>
  <si>
    <t>Refugio</t>
  </si>
  <si>
    <t>San Patricio</t>
  </si>
  <si>
    <t>Willacy</t>
  </si>
  <si>
    <t>Bee</t>
  </si>
  <si>
    <t>Brooks</t>
  </si>
  <si>
    <t>Fort Bend</t>
  </si>
  <si>
    <t>Goliad</t>
  </si>
  <si>
    <t>Hardin</t>
  </si>
  <si>
    <t>Hidalgo</t>
  </si>
  <si>
    <t>Jackson</t>
  </si>
  <si>
    <t>Jim Wells</t>
  </si>
  <si>
    <t>Liberty</t>
  </si>
  <si>
    <t>Live Oak</t>
  </si>
  <si>
    <t>Orange</t>
  </si>
  <si>
    <t>Victoria</t>
  </si>
  <si>
    <t>Wharton</t>
  </si>
  <si>
    <t>Dallas</t>
  </si>
  <si>
    <t>Tarrant</t>
  </si>
  <si>
    <t>Collin</t>
  </si>
  <si>
    <t>Denton</t>
  </si>
  <si>
    <t>Rockwall</t>
  </si>
  <si>
    <t>Bexar</t>
  </si>
  <si>
    <t>Travis</t>
  </si>
  <si>
    <t>El Paso</t>
  </si>
  <si>
    <t>Atascosa</t>
  </si>
  <si>
    <t>Bandera</t>
  </si>
  <si>
    <t>Dimmit</t>
  </si>
  <si>
    <t>Duval</t>
  </si>
  <si>
    <t>Edwards</t>
  </si>
  <si>
    <t>Frio</t>
  </si>
  <si>
    <t>Jim Hogg</t>
  </si>
  <si>
    <t>Kerr</t>
  </si>
  <si>
    <t>Kinney</t>
  </si>
  <si>
    <t>La Salle</t>
  </si>
  <si>
    <t>Maverick</t>
  </si>
  <si>
    <t>McMullen</t>
  </si>
  <si>
    <t>Medina</t>
  </si>
  <si>
    <t>Real</t>
  </si>
  <si>
    <t>Starr</t>
  </si>
  <si>
    <t>Uvalde</t>
  </si>
  <si>
    <t>Val Verde</t>
  </si>
  <si>
    <t>Webb</t>
  </si>
  <si>
    <t>Zapata</t>
  </si>
  <si>
    <t>Zavala</t>
  </si>
  <si>
    <t>Austin</t>
  </si>
  <si>
    <t>Bastrop</t>
  </si>
  <si>
    <t>Bell</t>
  </si>
  <si>
    <t>Blanco</t>
  </si>
  <si>
    <t>Brazos</t>
  </si>
  <si>
    <t>Burleson</t>
  </si>
  <si>
    <t>Burnet</t>
  </si>
  <si>
    <t>Caldwell</t>
  </si>
  <si>
    <t>Colorado</t>
  </si>
  <si>
    <t>Comal</t>
  </si>
  <si>
    <t>Coryell</t>
  </si>
  <si>
    <t>De Witt</t>
  </si>
  <si>
    <t>Falls</t>
  </si>
  <si>
    <t>Fayette</t>
  </si>
  <si>
    <t>Gillespie</t>
  </si>
  <si>
    <t>Gonzales</t>
  </si>
  <si>
    <t>Guadalupe</t>
  </si>
  <si>
    <t>Hays</t>
  </si>
  <si>
    <t>Karnes</t>
  </si>
  <si>
    <t>Kendall</t>
  </si>
  <si>
    <t>Kimble</t>
  </si>
  <si>
    <t>Lampasas</t>
  </si>
  <si>
    <t>Lavaca</t>
  </si>
  <si>
    <t>Lee</t>
  </si>
  <si>
    <t>Llano</t>
  </si>
  <si>
    <t>Mason</t>
  </si>
  <si>
    <t>Menard</t>
  </si>
  <si>
    <t>Milam</t>
  </si>
  <si>
    <t>Robertson</t>
  </si>
  <si>
    <t>San Saba</t>
  </si>
  <si>
    <t>Washington</t>
  </si>
  <si>
    <t>Williamson</t>
  </si>
  <si>
    <t>Wilson</t>
  </si>
  <si>
    <t>Anderson</t>
  </si>
  <si>
    <t>Angelina</t>
  </si>
  <si>
    <t>Cherokee</t>
  </si>
  <si>
    <t>Ellis</t>
  </si>
  <si>
    <t>Freestone</t>
  </si>
  <si>
    <t>Gregg</t>
  </si>
  <si>
    <t>Grimes</t>
  </si>
  <si>
    <t>Henderson</t>
  </si>
  <si>
    <t>Houston</t>
  </si>
  <si>
    <t>Jasper</t>
  </si>
  <si>
    <t>Leon</t>
  </si>
  <si>
    <t>Limestone</t>
  </si>
  <si>
    <t>Madison</t>
  </si>
  <si>
    <t>Montgomery</t>
  </si>
  <si>
    <t>Nacogdoches</t>
  </si>
  <si>
    <t>Navarro</t>
  </si>
  <si>
    <t>Newton</t>
  </si>
  <si>
    <t>Panola</t>
  </si>
  <si>
    <t>Polk</t>
  </si>
  <si>
    <t>Rusk</t>
  </si>
  <si>
    <t>Sabine</t>
  </si>
  <si>
    <t>San Augustine</t>
  </si>
  <si>
    <t>San Jacinto</t>
  </si>
  <si>
    <t>Shelby</t>
  </si>
  <si>
    <t>Smith</t>
  </si>
  <si>
    <t>Trinity</t>
  </si>
  <si>
    <t>Tyler</t>
  </si>
  <si>
    <t>Walker</t>
  </si>
  <si>
    <t>Waller</t>
  </si>
  <si>
    <t>15C</t>
  </si>
  <si>
    <t>Brewster</t>
  </si>
  <si>
    <t>Crockett</t>
  </si>
  <si>
    <t>Culberson</t>
  </si>
  <si>
    <t>Hudspeth</t>
  </si>
  <si>
    <t>Jeff Davis</t>
  </si>
  <si>
    <t>Loving</t>
  </si>
  <si>
    <t>Pecos</t>
  </si>
  <si>
    <t>Presidio</t>
  </si>
  <si>
    <t>Reeves</t>
  </si>
  <si>
    <t>Schleicher</t>
  </si>
  <si>
    <t>Sutton</t>
  </si>
  <si>
    <t>Terrell</t>
  </si>
  <si>
    <t>15N</t>
  </si>
  <si>
    <t>Andrews</t>
  </si>
  <si>
    <t>Coke</t>
  </si>
  <si>
    <t>Crane</t>
  </si>
  <si>
    <t>Ector</t>
  </si>
  <si>
    <t>Glasscock</t>
  </si>
  <si>
    <t>Howard</t>
  </si>
  <si>
    <t>Irion</t>
  </si>
  <si>
    <t>Martin</t>
  </si>
  <si>
    <t>Midland</t>
  </si>
  <si>
    <t>Mitchell</t>
  </si>
  <si>
    <t>Nolan</t>
  </si>
  <si>
    <t>Reagan</t>
  </si>
  <si>
    <t>Sterling</t>
  </si>
  <si>
    <t>Tom Green</t>
  </si>
  <si>
    <t>Upton</t>
  </si>
  <si>
    <t>Ward</t>
  </si>
  <si>
    <t>Winkler</t>
  </si>
  <si>
    <t>16C</t>
  </si>
  <si>
    <t>Bosque</t>
  </si>
  <si>
    <t>Brown</t>
  </si>
  <si>
    <t>Comanche</t>
  </si>
  <si>
    <t>Eastland</t>
  </si>
  <si>
    <t>Erath</t>
  </si>
  <si>
    <t>Hamilton</t>
  </si>
  <si>
    <t>Hill</t>
  </si>
  <si>
    <t>Hood</t>
  </si>
  <si>
    <t>Johnson</t>
  </si>
  <si>
    <t>Mills</t>
  </si>
  <si>
    <t>Somervell</t>
  </si>
  <si>
    <t>16N</t>
  </si>
  <si>
    <t>Callahan</t>
  </si>
  <si>
    <t>Coleman</t>
  </si>
  <si>
    <t>Concho</t>
  </si>
  <si>
    <t>McCulloch</t>
  </si>
  <si>
    <t>Runnels</t>
  </si>
  <si>
    <t>Taylor</t>
  </si>
  <si>
    <t>16S</t>
  </si>
  <si>
    <t>McLennan</t>
  </si>
  <si>
    <t>Bowie</t>
  </si>
  <si>
    <t>Camp</t>
  </si>
  <si>
    <t>Cass</t>
  </si>
  <si>
    <t>Delta</t>
  </si>
  <si>
    <t>Fannin</t>
  </si>
  <si>
    <t>Franklin</t>
  </si>
  <si>
    <t>Grayson</t>
  </si>
  <si>
    <t>Harrison</t>
  </si>
  <si>
    <t>Hopkins</t>
  </si>
  <si>
    <t>Hunt</t>
  </si>
  <si>
    <t>Kaufman</t>
  </si>
  <si>
    <t>Lamar</t>
  </si>
  <si>
    <t>Marion</t>
  </si>
  <si>
    <t>Morris</t>
  </si>
  <si>
    <t>Rains</t>
  </si>
  <si>
    <t>Red River</t>
  </si>
  <si>
    <t>Titus</t>
  </si>
  <si>
    <t>Upshur</t>
  </si>
  <si>
    <t>Van Zandt</t>
  </si>
  <si>
    <t>Wood</t>
  </si>
  <si>
    <t>Bailey</t>
  </si>
  <si>
    <t>Borden</t>
  </si>
  <si>
    <t>Briscoe</t>
  </si>
  <si>
    <t>Castro</t>
  </si>
  <si>
    <t>Childress</t>
  </si>
  <si>
    <t>Cochran</t>
  </si>
  <si>
    <t>Cottle</t>
  </si>
  <si>
    <t>Crosby</t>
  </si>
  <si>
    <t>Dawson</t>
  </si>
  <si>
    <t>Dickens</t>
  </si>
  <si>
    <t>Fisher</t>
  </si>
  <si>
    <t>Floyd</t>
  </si>
  <si>
    <t>Gaines</t>
  </si>
  <si>
    <t>Garza</t>
  </si>
  <si>
    <t>Hale</t>
  </si>
  <si>
    <t>Hall</t>
  </si>
  <si>
    <t>Hockley</t>
  </si>
  <si>
    <t>Kent</t>
  </si>
  <si>
    <t>King</t>
  </si>
  <si>
    <t>Lamb</t>
  </si>
  <si>
    <t>Lubbock</t>
  </si>
  <si>
    <t>Lynn</t>
  </si>
  <si>
    <t>Motley</t>
  </si>
  <si>
    <t>Parmer</t>
  </si>
  <si>
    <t>Scurry</t>
  </si>
  <si>
    <t>Stonewall</t>
  </si>
  <si>
    <t>Swisher</t>
  </si>
  <si>
    <t>Terry</t>
  </si>
  <si>
    <t>Yoakum</t>
  </si>
  <si>
    <t>19C</t>
  </si>
  <si>
    <t>Cooke</t>
  </si>
  <si>
    <t>Jack</t>
  </si>
  <si>
    <t>Montague</t>
  </si>
  <si>
    <t>Palo Pinto</t>
  </si>
  <si>
    <t>Parker</t>
  </si>
  <si>
    <t>Stephens</t>
  </si>
  <si>
    <t>Wise</t>
  </si>
  <si>
    <t>Young</t>
  </si>
  <si>
    <t>19N</t>
  </si>
  <si>
    <t>Archer</t>
  </si>
  <si>
    <t>Baylor</t>
  </si>
  <si>
    <t>Clay</t>
  </si>
  <si>
    <t>Foard</t>
  </si>
  <si>
    <t>Hardeman</t>
  </si>
  <si>
    <t>Haskell</t>
  </si>
  <si>
    <t>Jones</t>
  </si>
  <si>
    <t>Knox</t>
  </si>
  <si>
    <t>Shackelford</t>
  </si>
  <si>
    <t>Throckmorton</t>
  </si>
  <si>
    <t>Wichita</t>
  </si>
  <si>
    <t>Wilbarger</t>
  </si>
  <si>
    <t>Armstrong</t>
  </si>
  <si>
    <t>Carson</t>
  </si>
  <si>
    <t>Collingsworth</t>
  </si>
  <si>
    <t>Dallam</t>
  </si>
  <si>
    <t>Deaf Smith</t>
  </si>
  <si>
    <t>Donley</t>
  </si>
  <si>
    <t>Gray</t>
  </si>
  <si>
    <t>Hansford</t>
  </si>
  <si>
    <t>Hartley</t>
  </si>
  <si>
    <t>Hemphill</t>
  </si>
  <si>
    <t>Hutchinson</t>
  </si>
  <si>
    <t>Lipscomb</t>
  </si>
  <si>
    <t>Moore</t>
  </si>
  <si>
    <t>Ochiltree</t>
  </si>
  <si>
    <t>Oldham</t>
  </si>
  <si>
    <t>Potter</t>
  </si>
  <si>
    <t>Randall</t>
  </si>
  <si>
    <t>Roberts</t>
  </si>
  <si>
    <t>Sherman</t>
  </si>
  <si>
    <t>Wheeler</t>
  </si>
  <si>
    <t>From Exhibit D-Historical Experience</t>
  </si>
  <si>
    <t>(8b)</t>
  </si>
  <si>
    <t>(1) through (4):</t>
  </si>
  <si>
    <t>(a)</t>
  </si>
  <si>
    <t>(b)</t>
  </si>
  <si>
    <t>(c)</t>
  </si>
  <si>
    <t>(d)</t>
  </si>
  <si>
    <t>(e)</t>
  </si>
  <si>
    <t>(f)</t>
  </si>
  <si>
    <t>(g)</t>
  </si>
  <si>
    <t>(h)</t>
  </si>
  <si>
    <t>Fixed Expense Offset</t>
  </si>
  <si>
    <t>Variable Expense Offset</t>
  </si>
  <si>
    <t>(8a)</t>
  </si>
  <si>
    <t>(8c)</t>
  </si>
  <si>
    <t>Policy Term:</t>
  </si>
  <si>
    <t>Company Name:
   (Shortened or Initials)</t>
  </si>
  <si>
    <t>Company Information:</t>
  </si>
  <si>
    <t>110% of Industry Median</t>
  </si>
  <si>
    <t>Non-Catastrophe Data</t>
  </si>
  <si>
    <t>Prem</t>
  </si>
  <si>
    <t>Weight</t>
  </si>
  <si>
    <t>Model &amp; Loss Type</t>
  </si>
  <si>
    <t>Insufficient Funds</t>
  </si>
  <si>
    <t>Standard for Full Credibility</t>
  </si>
  <si>
    <t>Total Number of Claims/Exposures Used for Credibility</t>
  </si>
  <si>
    <t>Square root rule</t>
  </si>
  <si>
    <t>N/(N+K)</t>
  </si>
  <si>
    <t>Do the overall impacts by form/coverage on this exhibit match the overall impacts by form/coverage on the Overall Rate Change Exhibit?</t>
  </si>
  <si>
    <t>Calendar Quarter</t>
  </si>
  <si>
    <t>Time Period</t>
  </si>
  <si>
    <t>j)</t>
  </si>
  <si>
    <t>Formula General Expense</t>
  </si>
  <si>
    <t>Adjusted General Expense</t>
  </si>
  <si>
    <t>Formula Adjusted Expense Ratio</t>
  </si>
  <si>
    <t>Expense Ratio</t>
  </si>
  <si>
    <t>Countrywide A&amp;O Ratio</t>
  </si>
  <si>
    <t>Exhibit 2 - Current Rate Level Factors</t>
  </si>
  <si>
    <t>Exhibit 4 - Loss Development</t>
  </si>
  <si>
    <t>Exhibit 6 - Loss Ratio Trend</t>
  </si>
  <si>
    <t>Exhibit 7 - Non-Modeled Catastrophe Losses</t>
  </si>
  <si>
    <t>Exhibit 8 - Modeled Catastrophe Losses</t>
  </si>
  <si>
    <t>Rate Indications Performed On:</t>
  </si>
  <si>
    <t>Separately by Calendar Year</t>
  </si>
  <si>
    <t>Exhibit D - Historical Experience</t>
  </si>
  <si>
    <t>Average Rate Impact</t>
  </si>
  <si>
    <t>Exhibit C3 - Overall Impact by Variable</t>
  </si>
  <si>
    <t>DCCE Analyzed:</t>
  </si>
  <si>
    <t>1-Indication</t>
  </si>
  <si>
    <t>2-Current Rate Level</t>
  </si>
  <si>
    <t>4-Loss Development</t>
  </si>
  <si>
    <t>6-Loss Ratio Trend</t>
  </si>
  <si>
    <t>7-Non-Modeled Cat</t>
  </si>
  <si>
    <t>8-Modeled Cat</t>
  </si>
  <si>
    <t>Exhibit 11 - Reinsurance</t>
  </si>
  <si>
    <t>Exhibit 13 - Credibility</t>
  </si>
  <si>
    <t>Exhibit 14 - Fees</t>
  </si>
  <si>
    <t>Exhibit 15 - Policyholder Impact</t>
  </si>
  <si>
    <t>11-Reinsurance</t>
  </si>
  <si>
    <t>13-Credibility</t>
  </si>
  <si>
    <t>14-Fees</t>
  </si>
  <si>
    <t>15-Policyholder Impact</t>
  </si>
  <si>
    <t>C1-Statewide Average Rate Level Change</t>
  </si>
  <si>
    <t>C2-Rate Change History</t>
  </si>
  <si>
    <t>C3-Rate Change by Variable</t>
  </si>
  <si>
    <t>D-Historical Experience</t>
  </si>
  <si>
    <t>For ratemaking purposes, fee income must be on-leveled and reflected in the ratemaking data either by including with earned premium or as an offset to expenses.</t>
  </si>
  <si>
    <t>Texas Volunteer FD Assistance</t>
  </si>
  <si>
    <t>If "Does Not Match" is showing, check the forms/coverages listed and their impacts.</t>
  </si>
  <si>
    <t>Exhibit E - Expense Information - Including Disallowed</t>
  </si>
  <si>
    <t>Column Descriptions</t>
  </si>
  <si>
    <t>Row Descriptions</t>
  </si>
  <si>
    <t>From Exhibit 1-Indication</t>
  </si>
  <si>
    <t xml:space="preserve">Loss Development Performed On: </t>
  </si>
  <si>
    <t>From Exhibit 2-Current Rate Level</t>
  </si>
  <si>
    <t>From Exhibit 4-Loss Development</t>
  </si>
  <si>
    <t>From Exhibit 7-Non-Modeled Cat</t>
  </si>
  <si>
    <t>From Exhibit 8-Modeled Cat</t>
  </si>
  <si>
    <t>Exhibit 10 - Fixed and Variable Expenses</t>
  </si>
  <si>
    <t>Exhibit 9 - Loss Adjustment Expenses</t>
  </si>
  <si>
    <t>9-Loss Adjustment Expenses</t>
  </si>
  <si>
    <t>10-Fixed &amp; Variable Expenses</t>
  </si>
  <si>
    <t>From Exhibit 9-Loss Adjustment Expenses</t>
  </si>
  <si>
    <t>From Exhibit 10-Fixed and Variable Expenses</t>
  </si>
  <si>
    <t>From Exhibit 13-Credibility</t>
  </si>
  <si>
    <t>From Exhibit 11-Reinsurance</t>
  </si>
  <si>
    <t>From Exhibit 14-Fees</t>
  </si>
  <si>
    <t>From Exhibit 6-Loss Ratio Trend</t>
  </si>
  <si>
    <t>Selected Underwriting Profit Provision:</t>
  </si>
  <si>
    <t>Describe all the reinsurance arrangements that result in expenses included in the ratemaking.</t>
  </si>
  <si>
    <t>If so, explain the arrangements specifically with those companies.</t>
  </si>
  <si>
    <t>Expected Reinsurance Recoverables</t>
  </si>
  <si>
    <t>Target Premium-to-Surplus Ratio</t>
  </si>
  <si>
    <t>Expected Retained Losses</t>
  </si>
  <si>
    <t>Describe the methodology used to allocate reinsurance costs to Texas.</t>
  </si>
  <si>
    <t>Used as an Expense Offset</t>
  </si>
  <si>
    <t>Amount</t>
  </si>
  <si>
    <t>Provision</t>
  </si>
  <si>
    <t>Four-Quarter-Ending Exponential Trend</t>
  </si>
  <si>
    <t>Four-Quarter-Ending</t>
  </si>
  <si>
    <t>Where is fee income included in the premium listed above?</t>
  </si>
  <si>
    <t xml:space="preserve"> </t>
  </si>
  <si>
    <t>Alternative Complement of Credibility, if desired</t>
  </si>
  <si>
    <t>= {[1 + (19)] x (20)} + {[1 + (21)] x [1 - (20)]}</t>
  </si>
  <si>
    <t>Exhibit 3B - Premium Trend</t>
  </si>
  <si>
    <t>Exhibit 3A - Premium Trend</t>
  </si>
  <si>
    <t>Exhibit 5A - Non-Catastrophe Loss Trend</t>
  </si>
  <si>
    <t>Exhibit 12A - Profit</t>
  </si>
  <si>
    <t>Target After-Tax Return on GAAP Equity</t>
  </si>
  <si>
    <t>Ratio of GAAP Equity to Statutory Surplus</t>
  </si>
  <si>
    <t>Target After-Tax Return on Statutory Surplus</t>
  </si>
  <si>
    <t>Before-Tax Rate of Return on Invested Assets</t>
  </si>
  <si>
    <t>Average Tax Rate on Investment Income</t>
  </si>
  <si>
    <t>After-Tax Rate of Return on Invested Assets</t>
  </si>
  <si>
    <t>Required After-Tax Return on Statutory Surplus</t>
  </si>
  <si>
    <t>Net Earned Premium - Latest Calendar Year</t>
  </si>
  <si>
    <t>Beginning Statutory Surplus - Latest Calendar Year</t>
  </si>
  <si>
    <t>Ending Statutory Surplus - Latest Calendar Year</t>
  </si>
  <si>
    <t>Premium-to-Surplus Ratio - Latest Calendar Year</t>
  </si>
  <si>
    <t>Income Tax Rate on Underwriting Income</t>
  </si>
  <si>
    <t>Required Underwriting Profit Provision</t>
  </si>
  <si>
    <t>= (1) x (2)</t>
  </si>
  <si>
    <t>= (8) / {[(9) + (10)] / 2.0}</t>
  </si>
  <si>
    <t>= { (7) / (12) - (13) x [1.0 - (5)] - (14) x [1.0 - (15)] } / [1.0 - (15)]</t>
  </si>
  <si>
    <t>Exhibit 12B - Effective Return on Equity</t>
  </si>
  <si>
    <t>Income Source</t>
  </si>
  <si>
    <t>After-Tax Income From Underwriting Profit Provision</t>
  </si>
  <si>
    <t xml:space="preserve">After-Tax Income From Other Risk Provisions     </t>
  </si>
  <si>
    <t>After-Tax Other Underwriting Income</t>
  </si>
  <si>
    <t>Target Premium to Surplus Ratio</t>
  </si>
  <si>
    <t>Total After-Tax Return on Statutory Surplus</t>
  </si>
  <si>
    <t>Total After-Tax Return on GAAP Equity</t>
  </si>
  <si>
    <t>Before-Tax Investment Income on Policyholder Funds
(as a Ratio to Premium)</t>
  </si>
  <si>
    <t>Before-Tax Other Underwriting Income
(as a Ratio to Premium)</t>
  </si>
  <si>
    <t>Other Risk Provisions Not Included As Underwriting Profit:</t>
  </si>
  <si>
    <t>Explain any differences between line (16) and line (17).</t>
  </si>
  <si>
    <t>After-Tax Investment Income on Policyholder Funds</t>
  </si>
  <si>
    <t>After-Tax Investment Income on Surplus</t>
  </si>
  <si>
    <t>3A-Premium Trend</t>
  </si>
  <si>
    <t>3B-Premium Trend</t>
  </si>
  <si>
    <t>5A-Loss Trend</t>
  </si>
  <si>
    <t>5B-Loss Trend</t>
  </si>
  <si>
    <t>5C-Loss Trend</t>
  </si>
  <si>
    <t>12A-Profit</t>
  </si>
  <si>
    <t>12B-Effective Return on Equity</t>
  </si>
  <si>
    <t>Have there been any deductible shifts over the time period used to determine this provision?</t>
  </si>
  <si>
    <t>If so, describe the shift and the adjustments made to account for this shift.</t>
  </si>
  <si>
    <t>Fee-Y</t>
  </si>
  <si>
    <t>Have there been any exposure shifts over the time period used to determine this provision?</t>
  </si>
  <si>
    <r>
      <rPr>
        <b/>
        <sz val="11"/>
        <color theme="1"/>
        <rFont val="Calibri"/>
        <family val="2"/>
      </rPr>
      <t>Provide the definition of "catastrophe" used for this provision.</t>
    </r>
    <r>
      <rPr>
        <sz val="11"/>
        <color theme="1"/>
        <rFont val="Calibri"/>
        <family val="2"/>
      </rPr>
      <t xml:space="preserve">
If the definition has changed over time, provide all definitions and the corresponding time periods.</t>
    </r>
  </si>
  <si>
    <t>Pure Premium/
Avg Earned Premium</t>
  </si>
  <si>
    <t>Premium at Current Rate Level</t>
  </si>
  <si>
    <t>Exposures</t>
  </si>
  <si>
    <t>Average Premium at Current Rate Level</t>
  </si>
  <si>
    <t>(3) and (4):</t>
  </si>
  <si>
    <t>Company-provided, if applicable</t>
  </si>
  <si>
    <t>Modeled Cat Loss &amp; LAE Ratio Used in Previous Rate Filing</t>
  </si>
  <si>
    <t>(10a)</t>
  </si>
  <si>
    <t>(10b)</t>
  </si>
  <si>
    <t>(11a)</t>
  </si>
  <si>
    <t>(11b)</t>
  </si>
  <si>
    <t>(11c)</t>
  </si>
  <si>
    <t>(11d)</t>
  </si>
  <si>
    <t>(11e)</t>
  </si>
  <si>
    <t>(11f)</t>
  </si>
  <si>
    <t>(11g)</t>
  </si>
  <si>
    <t>(11h)</t>
  </si>
  <si>
    <t>(11i)</t>
  </si>
  <si>
    <t>(11j)</t>
  </si>
  <si>
    <t>If any other data or analyses were relied upon, provide them separately.</t>
  </si>
  <si>
    <r>
      <t xml:space="preserve">Provide reasoning for the selected General Expense provision.
</t>
    </r>
    <r>
      <rPr>
        <sz val="11"/>
        <color theme="1"/>
        <rFont val="Calibri"/>
        <family val="2"/>
      </rPr>
      <t>If any other data or analyses were relied upon, provide them separately.</t>
    </r>
  </si>
  <si>
    <r>
      <t>Provide reasoning for the selected Other Acquisition Expense provision</t>
    </r>
    <r>
      <rPr>
        <sz val="11"/>
        <color theme="1"/>
        <rFont val="Calibri"/>
        <family val="2"/>
      </rPr>
      <t>.
If any other data or analyses were relied upon, provide them separately.</t>
    </r>
  </si>
  <si>
    <r>
      <t xml:space="preserve">Provide reasoning for the selected Commission and Brokerage provision.
</t>
    </r>
    <r>
      <rPr>
        <sz val="11"/>
        <color theme="1"/>
        <rFont val="Calibri"/>
        <family val="2"/>
      </rPr>
      <t>If any other data or analyses were relied upon, provide them separately.</t>
    </r>
  </si>
  <si>
    <r>
      <t xml:space="preserve">Provide reasoning for the selected Taxes, Licenses, and Fees Expense provision.
</t>
    </r>
    <r>
      <rPr>
        <sz val="11"/>
        <color theme="1"/>
        <rFont val="Calibri"/>
        <family val="2"/>
      </rPr>
      <t>If any other data or analyses were relied upon, provide them separately.</t>
    </r>
  </si>
  <si>
    <t>Exhibit C1 - Statewide Average Rate Level Change</t>
  </si>
  <si>
    <t>Exhibit C2 - Statewide Average Rate Change History</t>
  </si>
  <si>
    <t>Proposed Rate Level
Change</t>
  </si>
  <si>
    <t>DCCE: Defense and Cost Containment Expense, formerly referred to as Allocated Loss Adjustment Expense (ALAE).</t>
  </si>
  <si>
    <t>A&amp;O Expenses Incurred</t>
  </si>
  <si>
    <t>DCCE: Defense and Cost Containment Expense, formerly referred to as Allocated Loss Adjustment Expense (ALAE).
A&amp;O Expenses: Adjusting and Other Expenses, formerly referred to as Unallocated Loss Adjustment Expense (ULAE).</t>
  </si>
  <si>
    <t>All Year Geometric Average</t>
  </si>
  <si>
    <t>Near-term</t>
  </si>
  <si>
    <t>Long-term</t>
  </si>
  <si>
    <t>Medium-term</t>
  </si>
  <si>
    <t>Incurred</t>
  </si>
  <si>
    <t>Paid</t>
  </si>
  <si>
    <t>Basis</t>
  </si>
  <si>
    <t>Provide the calculation for this offset.</t>
  </si>
  <si>
    <r>
      <t xml:space="preserve">Provide the source and description of the number of claims/exposures used for credibility.
</t>
    </r>
    <r>
      <rPr>
        <sz val="11"/>
        <color theme="1"/>
        <rFont val="Calibri"/>
        <family val="2"/>
      </rPr>
      <t>(Example: Company-specific paid claims for the experience period, dwelling form)</t>
    </r>
  </si>
  <si>
    <t>Explain how the standard for full credibility was determined.</t>
  </si>
  <si>
    <t>If Other, provide the formula and explain.</t>
  </si>
  <si>
    <t>If an alternative complement of credibility is used instead of the net trend, provide the details and support for the selection.</t>
  </si>
  <si>
    <t>If Other, describe the methodology used and provide the detail supporting the factor calculation.</t>
  </si>
  <si>
    <t>Benchmark
Territory</t>
  </si>
  <si>
    <t>Checklist</t>
  </si>
  <si>
    <t>What is the six digit State Tracking Number(s) of your last filing?</t>
  </si>
  <si>
    <t>(3a)</t>
  </si>
  <si>
    <t>(4a)</t>
  </si>
  <si>
    <t>(5a)</t>
  </si>
  <si>
    <t>(6a)</t>
  </si>
  <si>
    <t>(7a)</t>
  </si>
  <si>
    <t>(7b)</t>
  </si>
  <si>
    <t>(7c)</t>
  </si>
  <si>
    <t>Assessments</t>
  </si>
  <si>
    <r>
      <t xml:space="preserve">What rate information is included in this filing?  </t>
    </r>
    <r>
      <rPr>
        <i/>
        <sz val="8"/>
        <rFont val="Calibri"/>
        <family val="2"/>
        <scheme val="minor"/>
      </rPr>
      <t xml:space="preserve">Support should be provided for each item that is changing. </t>
    </r>
  </si>
  <si>
    <t>Fees (installment fees, policy fees, etc.)</t>
  </si>
  <si>
    <t>Other supplementary rating information</t>
  </si>
  <si>
    <r>
      <t>Summary of filed change and rate change history</t>
    </r>
    <r>
      <rPr>
        <sz val="8"/>
        <color theme="1"/>
        <rFont val="Calibri"/>
        <family val="2"/>
        <scheme val="minor"/>
      </rPr>
      <t xml:space="preserve"> (Exhibit C)</t>
    </r>
  </si>
  <si>
    <r>
      <t xml:space="preserve">Rate indications </t>
    </r>
    <r>
      <rPr>
        <sz val="8"/>
        <color theme="1"/>
        <rFont val="Calibri"/>
        <family val="2"/>
        <scheme val="minor"/>
      </rPr>
      <t>(Exhibit 1 or company supplied)</t>
    </r>
  </si>
  <si>
    <r>
      <t xml:space="preserve">Support for non-modeled catastrophe load </t>
    </r>
    <r>
      <rPr>
        <sz val="8"/>
        <color theme="1"/>
        <rFont val="Calibri"/>
        <family val="2"/>
        <scheme val="minor"/>
      </rPr>
      <t>(Exhibit 7 or company supplied)</t>
    </r>
  </si>
  <si>
    <r>
      <t>Support for profit provision</t>
    </r>
    <r>
      <rPr>
        <sz val="8"/>
        <color theme="1"/>
        <rFont val="Calibri"/>
        <family val="2"/>
        <scheme val="minor"/>
      </rPr>
      <t xml:space="preserve"> (Exhibit 12, L,  or company supplied)</t>
    </r>
  </si>
  <si>
    <r>
      <t xml:space="preserve">Other </t>
    </r>
    <r>
      <rPr>
        <sz val="8"/>
        <color theme="1"/>
        <rFont val="Calibri"/>
        <family val="2"/>
        <scheme val="minor"/>
      </rPr>
      <t>(attached separately)</t>
    </r>
  </si>
  <si>
    <r>
      <t xml:space="preserve">Support for territory changes </t>
    </r>
    <r>
      <rPr>
        <sz val="8"/>
        <color theme="1"/>
        <rFont val="Calibri"/>
        <family val="2"/>
        <scheme val="minor"/>
      </rPr>
      <t>(attached separately)</t>
    </r>
  </si>
  <si>
    <t xml:space="preserve">·        The exhibits included in this template can be used to provide rate indications and actuarial support. </t>
  </si>
  <si>
    <t>Residential Property - Rate Filing Template</t>
  </si>
  <si>
    <t xml:space="preserve">·        This template includes a checklist to assist insurers in making full and complete filings.  </t>
  </si>
  <si>
    <t>Index of Exhibits</t>
  </si>
  <si>
    <r>
      <t>Under Texas' file-and-use statute (</t>
    </r>
    <r>
      <rPr>
        <u/>
        <sz val="11"/>
        <color rgb="FF0000FF"/>
        <rFont val="Calibri"/>
        <family val="2"/>
        <scheme val="minor"/>
      </rPr>
      <t>Insurance Code Chapter 2251</t>
    </r>
    <r>
      <rPr>
        <sz val="11"/>
        <color theme="1"/>
        <rFont val="Calibri"/>
        <family val="2"/>
        <scheme val="minor"/>
      </rPr>
      <t xml:space="preserve">), each insurer shall file all rates, applicable rating manuals, supplementary rating information, and additional information as required by the commissioner.  </t>
    </r>
  </si>
  <si>
    <r>
      <rPr>
        <u/>
        <sz val="11"/>
        <color rgb="FF0000FF"/>
        <rFont val="Calibri"/>
        <family val="2"/>
        <scheme val="minor"/>
      </rPr>
      <t>Texas Administrative Code (TAC) §§5.9330 - 5.9332 (Division 6 - FME - Rate and Rate Manual Filing Requirements)</t>
    </r>
    <r>
      <rPr>
        <sz val="11"/>
        <color rgb="FF000000"/>
        <rFont val="Calibri"/>
        <family val="2"/>
        <scheme val="minor"/>
      </rPr>
      <t xml:space="preserve"> specifies requirements for the filing of this information.  The </t>
    </r>
    <r>
      <rPr>
        <sz val="11"/>
        <color theme="1"/>
        <rFont val="Calibri"/>
        <family val="2"/>
        <scheme val="minor"/>
      </rPr>
      <t xml:space="preserve">Filings Made Easy (FME) Guide </t>
    </r>
    <r>
      <rPr>
        <sz val="11"/>
        <color rgb="FF000000"/>
        <rFont val="Calibri"/>
        <family val="2"/>
        <scheme val="minor"/>
      </rPr>
      <t xml:space="preserve">assists filers with regard to rate filings by providing standard exhibits for insurers to use to provide certain required information. </t>
    </r>
    <r>
      <rPr>
        <sz val="11"/>
        <color theme="1"/>
        <rFont val="Calibri"/>
        <family val="2"/>
        <scheme val="minor"/>
      </rPr>
      <t xml:space="preserve"> </t>
    </r>
  </si>
  <si>
    <r>
      <t xml:space="preserve">This rate filing template was created to further assist insurers with compliance of </t>
    </r>
    <r>
      <rPr>
        <u/>
        <sz val="11"/>
        <color rgb="FF0000FF"/>
        <rFont val="Calibri"/>
        <family val="2"/>
        <scheme val="minor"/>
      </rPr>
      <t>TAC §§5.9330 - 5.9332</t>
    </r>
    <r>
      <rPr>
        <sz val="11"/>
        <color theme="1"/>
        <rFont val="Calibri"/>
        <family val="2"/>
        <scheme val="minor"/>
      </rPr>
      <t xml:space="preserve"> by providing additional exhibits.  </t>
    </r>
  </si>
  <si>
    <t>Other Statutory</t>
  </si>
  <si>
    <t>If so, has a credit model filing been made?</t>
  </si>
  <si>
    <t>If so, were the rating factors that reflect credit information revised in this filing?</t>
  </si>
  <si>
    <r>
      <t xml:space="preserve">If so, provide actuarial support specific to each change </t>
    </r>
    <r>
      <rPr>
        <sz val="8"/>
        <rFont val="Calibri"/>
        <family val="2"/>
        <scheme val="minor"/>
      </rPr>
      <t>(attach separately)</t>
    </r>
    <r>
      <rPr>
        <sz val="11"/>
        <rFont val="Calibri"/>
        <family val="2"/>
        <scheme val="minor"/>
      </rPr>
      <t>.</t>
    </r>
  </si>
  <si>
    <r>
      <t>If so, complete</t>
    </r>
    <r>
      <rPr>
        <i/>
        <sz val="11"/>
        <rFont val="Calibri"/>
        <family val="2"/>
        <scheme val="minor"/>
      </rPr>
      <t xml:space="preserve"> Territory Exhibit 2 - Support for Territorial Deviations </t>
    </r>
    <r>
      <rPr>
        <sz val="8"/>
        <rFont val="Calibri"/>
        <family val="2"/>
        <scheme val="minor"/>
      </rPr>
      <t>(attach separately)</t>
    </r>
    <r>
      <rPr>
        <i/>
        <sz val="11"/>
        <rFont val="Calibri"/>
        <family val="2"/>
        <scheme val="minor"/>
      </rPr>
      <t>.</t>
    </r>
  </si>
  <si>
    <r>
      <t xml:space="preserve">If so, complete </t>
    </r>
    <r>
      <rPr>
        <i/>
        <sz val="11"/>
        <rFont val="Calibri"/>
        <family val="2"/>
        <scheme val="minor"/>
      </rPr>
      <t xml:space="preserve">CS Exhibit - </t>
    </r>
    <r>
      <rPr>
        <sz val="11"/>
        <rFont val="Calibri"/>
        <family val="2"/>
        <scheme val="minor"/>
      </rPr>
      <t>S</t>
    </r>
    <r>
      <rPr>
        <i/>
        <sz val="11"/>
        <rFont val="Calibri"/>
        <family val="2"/>
        <scheme val="minor"/>
      </rPr>
      <t xml:space="preserve">upport for use of Credit Scoring </t>
    </r>
    <r>
      <rPr>
        <sz val="8"/>
        <rFont val="Calibri"/>
        <family val="2"/>
        <scheme val="minor"/>
      </rPr>
      <t>(attach separately)</t>
    </r>
    <r>
      <rPr>
        <i/>
        <sz val="11"/>
        <rFont val="Calibri"/>
        <family val="2"/>
        <scheme val="minor"/>
      </rPr>
      <t>.</t>
    </r>
  </si>
  <si>
    <r>
      <t xml:space="preserve">Filing memorandum </t>
    </r>
    <r>
      <rPr>
        <sz val="8"/>
        <color theme="1"/>
        <rFont val="Calibri"/>
        <family val="2"/>
        <scheme val="minor"/>
      </rPr>
      <t>(attached separately)</t>
    </r>
  </si>
  <si>
    <r>
      <t xml:space="preserve">Historical premium and loss experience </t>
    </r>
    <r>
      <rPr>
        <sz val="8"/>
        <color theme="1"/>
        <rFont val="Calibri"/>
        <family val="2"/>
        <scheme val="minor"/>
      </rPr>
      <t>(Exhibit D)</t>
    </r>
  </si>
  <si>
    <r>
      <t xml:space="preserve">Support for loss development </t>
    </r>
    <r>
      <rPr>
        <sz val="8"/>
        <color theme="1"/>
        <rFont val="Calibri"/>
        <family val="2"/>
        <scheme val="minor"/>
      </rPr>
      <t>(Exhibit 4 or company supplied)</t>
    </r>
  </si>
  <si>
    <r>
      <t xml:space="preserve">Support for credibility adjustment </t>
    </r>
    <r>
      <rPr>
        <sz val="8"/>
        <color theme="1"/>
        <rFont val="Calibri"/>
        <family val="2"/>
        <scheme val="minor"/>
      </rPr>
      <t>(Exhibit 13 or company supplied)</t>
    </r>
  </si>
  <si>
    <r>
      <t xml:space="preserve">Information regarding fees and fee income </t>
    </r>
    <r>
      <rPr>
        <sz val="8"/>
        <color theme="1"/>
        <rFont val="Calibri"/>
        <family val="2"/>
        <scheme val="minor"/>
      </rPr>
      <t>(Exhibit 14  or company supplied)</t>
    </r>
  </si>
  <si>
    <r>
      <t xml:space="preserve">Policyholder Impact </t>
    </r>
    <r>
      <rPr>
        <sz val="8"/>
        <color theme="1"/>
        <rFont val="Calibri"/>
        <family val="2"/>
        <scheme val="minor"/>
      </rPr>
      <t>(Exhibit 15 or company supplied)</t>
    </r>
  </si>
  <si>
    <r>
      <t>Support for use of credit information</t>
    </r>
    <r>
      <rPr>
        <sz val="8"/>
        <color theme="1"/>
        <rFont val="Calibri"/>
        <family val="2"/>
        <scheme val="minor"/>
      </rPr>
      <t xml:space="preserve"> (attached separately)</t>
    </r>
  </si>
  <si>
    <r>
      <t xml:space="preserve">Is this filing compliant with </t>
    </r>
    <r>
      <rPr>
        <u/>
        <sz val="11"/>
        <color rgb="FF0000FF"/>
        <rFont val="Calibri"/>
        <family val="2"/>
      </rPr>
      <t>Texas Insurance Code §544.353</t>
    </r>
    <r>
      <rPr>
        <sz val="11"/>
        <rFont val="Calibri"/>
        <family val="2"/>
      </rPr>
      <t xml:space="preserve"> that restricts the use of water damage claims in the underwriting of homeowners insurance?</t>
    </r>
  </si>
  <si>
    <r>
      <t xml:space="preserve">Is this filing compliant with </t>
    </r>
    <r>
      <rPr>
        <u/>
        <sz val="11"/>
        <color rgb="FF0000FF"/>
        <rFont val="Calibri"/>
        <family val="2"/>
      </rPr>
      <t>Texas Insurance Code §551.107</t>
    </r>
    <r>
      <rPr>
        <sz val="11"/>
        <rFont val="Calibri"/>
        <family val="2"/>
      </rPr>
      <t xml:space="preserve"> regarding the consideration of claims for policy renewals and surcharges?</t>
    </r>
  </si>
  <si>
    <r>
      <t xml:space="preserve">Is this filing compliant with </t>
    </r>
    <r>
      <rPr>
        <u/>
        <sz val="11"/>
        <color rgb="FF0000FF"/>
        <rFont val="Calibri"/>
        <family val="2"/>
      </rPr>
      <t>Texas Insurance Code Chapter 2006 subchapter B</t>
    </r>
    <r>
      <rPr>
        <sz val="11"/>
        <rFont val="Calibri"/>
        <family val="2"/>
      </rPr>
      <t xml:space="preserve"> regarding an optional premium discount?</t>
    </r>
  </si>
  <si>
    <r>
      <t xml:space="preserve">Is this filing compliant with </t>
    </r>
    <r>
      <rPr>
        <u/>
        <sz val="11"/>
        <color rgb="FF0000FF"/>
        <rFont val="Calibri"/>
        <family val="2"/>
      </rPr>
      <t>28 TAC §21.1006</t>
    </r>
    <r>
      <rPr>
        <sz val="11"/>
        <color rgb="FF0000FF"/>
        <rFont val="Calibri"/>
        <family val="2"/>
      </rPr>
      <t xml:space="preserve"> </t>
    </r>
    <r>
      <rPr>
        <sz val="11"/>
        <rFont val="Calibri"/>
        <family val="2"/>
      </rPr>
      <t>regarding age or value of property?</t>
    </r>
  </si>
  <si>
    <t xml:space="preserve">·        Data-entry cells are linked when appropriate to avoid the need for duplicate data entry.  </t>
  </si>
  <si>
    <r>
      <t xml:space="preserve">·        As noted in the checklist, insurers need to provide company support specific to supplementary rating
         information that is changing, such as class relativities or discounts.  Links are provided where TDI has
         created sample exhibits; for others, companies should look to their own actuarial department for support
         that meets the </t>
    </r>
    <r>
      <rPr>
        <u/>
        <sz val="11"/>
        <color rgb="FF0000FF"/>
        <rFont val="Calibri"/>
        <family val="2"/>
        <scheme val="minor"/>
      </rPr>
      <t>actuarial standards of practice</t>
    </r>
    <r>
      <rPr>
        <sz val="11"/>
        <color theme="1"/>
        <rFont val="Calibri"/>
        <family val="2"/>
        <scheme val="minor"/>
      </rPr>
      <t xml:space="preserve">. </t>
    </r>
  </si>
  <si>
    <r>
      <t xml:space="preserve">Territory  </t>
    </r>
    <r>
      <rPr>
        <i/>
        <sz val="11"/>
        <color theme="0"/>
        <rFont val="Calibri"/>
        <family val="2"/>
        <scheme val="minor"/>
      </rPr>
      <t>(Chapter 2253 and 28 TAC §5.9960)</t>
    </r>
  </si>
  <si>
    <r>
      <t xml:space="preserve">Credit  </t>
    </r>
    <r>
      <rPr>
        <i/>
        <sz val="11"/>
        <color theme="0"/>
        <rFont val="Calibri"/>
        <family val="2"/>
        <scheme val="minor"/>
      </rPr>
      <t>(Chapter 559 and 28 TAC §§5.9440 and 5.9441)</t>
    </r>
  </si>
  <si>
    <t>General Information</t>
  </si>
  <si>
    <t>Filing Information:</t>
  </si>
  <si>
    <t>Home - General</t>
  </si>
  <si>
    <t>Reinsurance Premium (Less Ceding Commission)</t>
  </si>
  <si>
    <t>From General Information: Based on Latest Experience Year Date</t>
  </si>
  <si>
    <t>From General Information: Five years ending latest experience year</t>
  </si>
  <si>
    <t>From Exhibit 3B-Premium Trend</t>
  </si>
  <si>
    <t>From Exhibit 5B-Loss Trend</t>
  </si>
  <si>
    <t>From Exhibit 3A-Premium Trend</t>
  </si>
  <si>
    <t>From Exhibit 5A-Loss Trend</t>
  </si>
  <si>
    <t>From Exhibit 12A-Profit</t>
  </si>
  <si>
    <t>Automatically populated based on (1) and (2)</t>
  </si>
  <si>
    <r>
      <t>·        Complete the Company Information section in the General Information tab first.</t>
    </r>
    <r>
      <rPr>
        <sz val="11"/>
        <color theme="1"/>
        <rFont val="Calibri"/>
        <family val="2"/>
        <scheme val="minor"/>
      </rPr>
      <t xml:space="preserve">  The Filing Information
         section will populate once the packet is complete.</t>
    </r>
  </si>
  <si>
    <t>Rate Indication Performed on:</t>
  </si>
  <si>
    <t>Accident Year Losses</t>
  </si>
  <si>
    <t>Calendar Year Losses</t>
  </si>
  <si>
    <t>Overall Indicated</t>
  </si>
  <si>
    <t>This rate filing template is provided as a tool.  Other ratemaking methodologies may be acceptable and can be provided separately.  When completed, this template provides supporting information for an overall rate change.</t>
  </si>
  <si>
    <r>
      <t>If so, complete</t>
    </r>
    <r>
      <rPr>
        <i/>
        <sz val="11"/>
        <rFont val="Calibri"/>
        <family val="2"/>
        <scheme val="minor"/>
      </rPr>
      <t xml:space="preserve"> Territory Exhibit 1 - Display of Counties Affected by 15% Territory Rule </t>
    </r>
    <r>
      <rPr>
        <sz val="8"/>
        <rFont val="Calibri"/>
        <family val="2"/>
        <scheme val="minor"/>
      </rPr>
      <t>(attach separately)</t>
    </r>
    <r>
      <rPr>
        <i/>
        <sz val="11"/>
        <rFont val="Calibri"/>
        <family val="2"/>
        <scheme val="minor"/>
      </rPr>
      <t>.</t>
    </r>
  </si>
  <si>
    <t>Have you changed any methodologies used in the rate level indication since your last filing?</t>
  </si>
  <si>
    <r>
      <t>If so, explain the change in methodologies</t>
    </r>
    <r>
      <rPr>
        <sz val="8"/>
        <rFont val="Calibri"/>
        <family val="2"/>
        <scheme val="minor"/>
      </rPr>
      <t xml:space="preserve"> (attach separately)</t>
    </r>
    <r>
      <rPr>
        <sz val="11"/>
        <rFont val="Calibri"/>
        <family val="2"/>
        <scheme val="minor"/>
      </rPr>
      <t>.</t>
    </r>
  </si>
  <si>
    <t>Are you proposing changes to any supplementary rating components? (example: discounts, classification relativities, tier factors, territory relativities).</t>
  </si>
  <si>
    <t>Did any of the territorial relativities change?</t>
  </si>
  <si>
    <t>Expenses</t>
  </si>
  <si>
    <t>Are amounts paid for assessments included in the losses or expenses for ratemaking purposes?</t>
  </si>
  <si>
    <t>Neither</t>
  </si>
  <si>
    <t>Where are paid assessments reported in the company's financial statement?  If Other, explain below.</t>
  </si>
  <si>
    <t>TL&amp;F</t>
  </si>
  <si>
    <t>General Exp</t>
  </si>
  <si>
    <t>N/A</t>
  </si>
  <si>
    <t>Classification guidelines (includes any rules, criteria, guidelines, models, or method by any other name that places individual risks into rating classifications, such as tiers, classes, categories, or similar groupings by any other name)</t>
  </si>
  <si>
    <r>
      <t xml:space="preserve">Historical expense information </t>
    </r>
    <r>
      <rPr>
        <sz val="8"/>
        <color theme="1"/>
        <rFont val="Calibri"/>
        <family val="2"/>
        <scheme val="minor"/>
      </rPr>
      <t>(Exhibit E)</t>
    </r>
  </si>
  <si>
    <t>Partial rate manual including only the following (check all that apply):</t>
  </si>
  <si>
    <t>Supporting documentation for rate indications (check all that apply):</t>
  </si>
  <si>
    <r>
      <t xml:space="preserve">Support for current rate level factors </t>
    </r>
    <r>
      <rPr>
        <sz val="8"/>
        <color theme="1"/>
        <rFont val="Calibri"/>
        <family val="2"/>
        <scheme val="minor"/>
      </rPr>
      <t>(Exhibit 2 or company supplied)</t>
    </r>
  </si>
  <si>
    <r>
      <t xml:space="preserve">Support for premium trend </t>
    </r>
    <r>
      <rPr>
        <sz val="8"/>
        <color theme="1"/>
        <rFont val="Calibri"/>
        <family val="2"/>
        <scheme val="minor"/>
      </rPr>
      <t>(Exhibit 3 or company supplied)</t>
    </r>
  </si>
  <si>
    <r>
      <t>Support for loss trend</t>
    </r>
    <r>
      <rPr>
        <sz val="8"/>
        <color theme="1"/>
        <rFont val="Calibri"/>
        <family val="2"/>
        <scheme val="minor"/>
      </rPr>
      <t xml:space="preserve"> (Exhibit 5 or company supplied)</t>
    </r>
  </si>
  <si>
    <r>
      <t xml:space="preserve">Support for modeled catastrophe load </t>
    </r>
    <r>
      <rPr>
        <sz val="8"/>
        <color theme="1"/>
        <rFont val="Calibri"/>
        <family val="2"/>
        <scheme val="minor"/>
      </rPr>
      <t>(Exhibit 8 or company supplied)</t>
    </r>
  </si>
  <si>
    <r>
      <t xml:space="preserve">Support for loss adjustment expenses </t>
    </r>
    <r>
      <rPr>
        <sz val="8"/>
        <color theme="1"/>
        <rFont val="Calibri"/>
        <family val="2"/>
        <scheme val="minor"/>
      </rPr>
      <t>(Exhibit 9 or company supplied)</t>
    </r>
  </si>
  <si>
    <r>
      <t xml:space="preserve">Support for fixed and variable expenses </t>
    </r>
    <r>
      <rPr>
        <sz val="8"/>
        <color theme="1"/>
        <rFont val="Calibri"/>
        <family val="2"/>
        <scheme val="minor"/>
      </rPr>
      <t>(Exhibit 10  or company supplied)</t>
    </r>
  </si>
  <si>
    <r>
      <t xml:space="preserve">Support for reinsurance expense </t>
    </r>
    <r>
      <rPr>
        <sz val="8"/>
        <color theme="1"/>
        <rFont val="Calibri"/>
        <family val="2"/>
        <scheme val="minor"/>
      </rPr>
      <t>(Exhibit 11 or company supplied)</t>
    </r>
  </si>
  <si>
    <r>
      <t xml:space="preserve">Support for other changes to supplementary rating information </t>
    </r>
    <r>
      <rPr>
        <sz val="8"/>
        <color theme="1"/>
        <rFont val="Calibri"/>
        <family val="2"/>
        <scheme val="minor"/>
      </rPr>
      <t>(attached separately)</t>
    </r>
  </si>
  <si>
    <t>Each exhibit is located in a separate tab in this workbook.</t>
  </si>
  <si>
    <t>What supporting information is included in this filing?</t>
  </si>
  <si>
    <t>List the proposed change for each variable (example: base rate, territory) separately for each form/coverage.</t>
  </si>
  <si>
    <t>This exhibit does not require any entry.</t>
  </si>
  <si>
    <t>Checklist - Residential Property</t>
  </si>
  <si>
    <t>List all coverages/forms, even those that are not being changed.</t>
  </si>
  <si>
    <t>Coverage/Form</t>
  </si>
  <si>
    <t>Frequency of Rate Reviews Assumed:</t>
  </si>
  <si>
    <t>From Exhibit 1-Indication: = [(6) x (7)] / [(2) x (3)]</t>
  </si>
  <si>
    <t>Total Fixed Expense Offset as a Percentage of the Premium Used to Calculate the Expense Category:</t>
  </si>
  <si>
    <t>For fees that are included with earned premium, provide the total amount included with earned premium, separately by experience period.</t>
  </si>
  <si>
    <t>For fees that are used as an offset to expenses, list the category of expense that each fee is offsetting.</t>
  </si>
  <si>
    <t>If any fee is neither included with earned premium or used as an offset to expenses for ratemaking purposes, provide the details on how it is reflected in ratemaking or explain why it is not reflected in ratemaking.</t>
  </si>
  <si>
    <r>
      <t xml:space="preserve">Is this filing compliant with </t>
    </r>
    <r>
      <rPr>
        <u/>
        <sz val="11"/>
        <color rgb="FF0000FF"/>
        <rFont val="Calibri"/>
        <family val="2"/>
      </rPr>
      <t>Texas Administrative Code §21.1007</t>
    </r>
    <r>
      <rPr>
        <sz val="11"/>
        <rFont val="Calibri"/>
        <family val="2"/>
      </rPr>
      <t xml:space="preserve"> that restricts the use of certain types of claims in the underwriting of homeowners insurance?</t>
    </r>
  </si>
  <si>
    <r>
      <t xml:space="preserve">Is this filing compliant with </t>
    </r>
    <r>
      <rPr>
        <u/>
        <sz val="11"/>
        <color rgb="FF0000FF"/>
        <rFont val="Calibri"/>
        <family val="2"/>
      </rPr>
      <t>Texas Administrative Code §21.1004</t>
    </r>
    <r>
      <rPr>
        <sz val="11"/>
        <rFont val="Calibri"/>
        <family val="2"/>
      </rPr>
      <t xml:space="preserve">  that restricts the use of certain types of claims in the rating of homeowners insurance?</t>
    </r>
  </si>
  <si>
    <r>
      <t xml:space="preserve">Is the supporting information included with this filing compliant with </t>
    </r>
    <r>
      <rPr>
        <u/>
        <sz val="11"/>
        <color rgb="FF0000FF"/>
        <rFont val="Calibri"/>
        <family val="2"/>
        <scheme val="minor"/>
      </rPr>
      <t>Section 2251.002 (1)</t>
    </r>
    <r>
      <rPr>
        <sz val="11"/>
        <rFont val="Calibri"/>
        <family val="2"/>
        <scheme val="minor"/>
      </rPr>
      <t xml:space="preserve"> that prohibits the use in rate calculations of certain administrative expenses that exceed 110% of the industry median?</t>
    </r>
  </si>
  <si>
    <r>
      <t xml:space="preserve">Effective Date (Renewal)
         </t>
    </r>
    <r>
      <rPr>
        <i/>
        <sz val="11"/>
        <color theme="1"/>
        <rFont val="Calibri"/>
        <family val="2"/>
      </rPr>
      <t>for Proposed Rates:</t>
    </r>
  </si>
  <si>
    <r>
      <t xml:space="preserve">Effective Date (Renewal)
     </t>
    </r>
    <r>
      <rPr>
        <i/>
        <sz val="11"/>
        <color theme="1"/>
        <rFont val="Calibri"/>
        <family val="2"/>
      </rPr>
      <t>for Prior Rate Change:</t>
    </r>
  </si>
  <si>
    <t>= (5) / (3)</t>
  </si>
  <si>
    <t>Contributions to Social, Religious, Political or Fraternal Organizations</t>
  </si>
  <si>
    <t>= (10) - (10a)</t>
  </si>
  <si>
    <t>= (11b) + (11c) + (11d) + (11e) + (11f) + (11g)</t>
  </si>
  <si>
    <t>= (11) - (11a) - (11h)</t>
  </si>
  <si>
    <t>= Minimum[110% Industry Median x CW EP , (11i)] + (11a)</t>
  </si>
  <si>
    <t>= [(17)/(18) - 1]</t>
  </si>
  <si>
    <t>= Average of (10), weighted with (11)</t>
  </si>
  <si>
    <t>= (4) x (5)</t>
  </si>
  <si>
    <t>= [1 + Selected Historical Pure Premium Trend] / [1 + Selected Historical Premium Trend] - 1.0</t>
  </si>
  <si>
    <t>= [1 + Selected Prospective Pure Premium Trend] / [1 + Selected Prospective Premium Trend] - 1.0</t>
  </si>
  <si>
    <t>= (1)</t>
  </si>
  <si>
    <t>= (a) - (b)</t>
  </si>
  <si>
    <t>= (c) / (d)</t>
  </si>
  <si>
    <t>= (e)Selected x (f)</t>
  </si>
  <si>
    <t>= (e)Selected x [1.0 - (f)]</t>
  </si>
  <si>
    <t>= (1g) + (2g) + (3g) + (4g) + (5a) + (6a) - (7a)</t>
  </si>
  <si>
    <t>= (1h) + (2h) + (3h) + (4h) + (5b) + (6b) - (7b)</t>
  </si>
  <si>
    <t>= 1.0 - (8b)</t>
  </si>
  <si>
    <t>= (5) / (6)</t>
  </si>
  <si>
    <t>= (4) x [1.0 - (5)]</t>
  </si>
  <si>
    <t>= (3) - (6)</t>
  </si>
  <si>
    <t>From Exhibit 12A-Profit: = (17) x [1.0 - (15)]</t>
  </si>
  <si>
    <t>From Exhibit 12A-Profit: = (18) x [1.0 - (15)]</t>
  </si>
  <si>
    <t>From Exhibit 12A-Profit: = (14) x [1.0 - (15)]</t>
  </si>
  <si>
    <t>From Exhibit 12A-Profit: = (13)  x [1.0 - (5)]</t>
  </si>
  <si>
    <t>From Exhibit 12A-Profit: = (6)</t>
  </si>
  <si>
    <t>From Exhibit 12A-Profit: = (12)</t>
  </si>
  <si>
    <t>= { [(1) + (2) + (3) + (4)] x (6) } + (5)</t>
  </si>
  <si>
    <t>From Exhibit 12A-Profit: = (2)</t>
  </si>
  <si>
    <t>= (7) / (8)</t>
  </si>
  <si>
    <t>= (5) / (5)Total</t>
  </si>
  <si>
    <t>Statewide Change = Average of (3), weighted with (2), divided by (2)Total</t>
  </si>
  <si>
    <t>Note: This exhibit is required for dwelling/owners forms only.</t>
  </si>
  <si>
    <t>NOTE: Fill in this information before completing the ratemaking exhibits.</t>
  </si>
  <si>
    <t>Projected
Earned Premium
at Current Rate Level</t>
  </si>
  <si>
    <t xml:space="preserve">Confirm that the exposure distribution expected during the time the rates will be in effect is consistent with the exposure distribution used to produce the modeled results.                                                                       </t>
  </si>
  <si>
    <t>Projected Modeled Cat Loss &amp; LAE Ratio</t>
  </si>
  <si>
    <t>Projected Modeled Cat
Loss &amp; LAE Ratio</t>
  </si>
  <si>
    <t>Selected Factors</t>
  </si>
  <si>
    <t>Form/Peril:</t>
  </si>
  <si>
    <t xml:space="preserve">Form/Peril:  </t>
  </si>
  <si>
    <t>·        If company-wide data is used to support a selection for multiple forms/perils, then that information needs to
         be included in only one form/peril's packet.  The selections should still be entered into every packet so that
         an overall indication for each form/peril can be calculated.  For example, if the loss trends are selected
         based on data from all forms combined, then the loss trend data, as well as the answers to questions related to
         the loss trend data and selections, can be entered into only one form's packet, while the loss trend selections
         should be entered into each form's packet.</t>
  </si>
  <si>
    <t>·        Exhibits C1, C2, and C3 should be completed on a company-wide basis, meaning they should include
         information for all forms/perils within the company.</t>
  </si>
  <si>
    <t>·        The General Information tab, Exhibits D and E, and the remaining ratemaking exhibits should be completed
         for each form/peril that is analyzed separately.</t>
  </si>
  <si>
    <t>·        The following exhibits do not require any entry:</t>
  </si>
  <si>
    <r>
      <t>·        Once completed, insurers may attach this entire workbook under the Supporting Information tab in SERFF in
         Excel</t>
    </r>
    <r>
      <rPr>
        <sz val="11"/>
        <color theme="1"/>
        <rFont val="Calibri"/>
        <family val="2"/>
      </rPr>
      <t>®</t>
    </r>
    <r>
      <rPr>
        <sz val="11"/>
        <color theme="1"/>
        <rFont val="Calibri"/>
        <family val="2"/>
        <scheme val="minor"/>
      </rPr>
      <t xml:space="preserve"> format in addition to the required copy in PDF format.  </t>
    </r>
  </si>
  <si>
    <r>
      <t xml:space="preserve">Provide the reasoning for the selected historical and prospective premium trends.  Include any insights on the driving factors of the trend.
</t>
    </r>
    <r>
      <rPr>
        <sz val="11"/>
        <color theme="1"/>
        <rFont val="Calibri"/>
        <family val="2"/>
        <scheme val="minor"/>
      </rPr>
      <t>If any other data or analyses were relied upon, provide them separately.</t>
    </r>
  </si>
  <si>
    <t>Included</t>
  </si>
  <si>
    <t>Not Included</t>
  </si>
  <si>
    <t>EP</t>
  </si>
  <si>
    <t>Expense Offset</t>
  </si>
  <si>
    <t>EP &amp; Exp-No</t>
  </si>
  <si>
    <t>EP + Exp</t>
  </si>
  <si>
    <t>Exhibit 16 - Average Premium Change by County</t>
  </si>
  <si>
    <t>Average Premium Change</t>
  </si>
  <si>
    <r>
      <t xml:space="preserve">Average premium change by county </t>
    </r>
    <r>
      <rPr>
        <sz val="8"/>
        <color theme="1"/>
        <rFont val="Calibri"/>
        <family val="2"/>
        <scheme val="minor"/>
      </rPr>
      <t>(Exhibit 16 or company supplied)</t>
    </r>
  </si>
  <si>
    <t>16-Premium Change by County</t>
  </si>
  <si>
    <t>Describe all other assumptions and adjustments made to the model input or output.</t>
  </si>
  <si>
    <t>Model
Vendor</t>
  </si>
  <si>
    <t>Model
Name</t>
  </si>
  <si>
    <t>Model
Version</t>
  </si>
  <si>
    <t>Demand
Surge</t>
  </si>
  <si>
    <t>Storm
Surge</t>
  </si>
  <si>
    <t>Storm
Activity</t>
  </si>
  <si>
    <t>Projected Average Annualized Loss</t>
  </si>
  <si>
    <t>LAE as a Percent of AAL</t>
  </si>
  <si>
    <t>Projected Earned Premium at Current Rate Level</t>
  </si>
  <si>
    <t>Provide the model’s analysis summary report.</t>
  </si>
  <si>
    <r>
      <t xml:space="preserve">Refer to Commissioner’s Bulletin #B-0030-10 at </t>
    </r>
    <r>
      <rPr>
        <b/>
        <u/>
        <sz val="11"/>
        <color rgb="FF0070C0"/>
        <rFont val="Calibri"/>
        <family val="2"/>
      </rPr>
      <t>www.tdi.texas.gov/bulletins/2010/cc29.html</t>
    </r>
    <r>
      <rPr>
        <b/>
        <sz val="11"/>
        <rFont val="Calibri"/>
        <family val="2"/>
      </rPr>
      <t xml:space="preserve"> and provide all the support required when using catastrophe models in ratemaking.  Confirm that the following  support is provided:</t>
    </r>
  </si>
  <si>
    <t>Section A: Catastrophe Model Details</t>
  </si>
  <si>
    <t>Section B: Catastrophe Model Output</t>
  </si>
  <si>
    <t>List the six-year average rate change history.</t>
  </si>
  <si>
    <t>Exhibit 5B - Non-Catastrophe Loss Trend</t>
  </si>
  <si>
    <t>Exhibit 5C - Non-Catastrophe Loss Trend</t>
  </si>
  <si>
    <t>= (5) / (2)</t>
  </si>
  <si>
    <t>Gross</t>
  </si>
  <si>
    <r>
      <t xml:space="preserve">= [1.0 + (2)] </t>
    </r>
    <r>
      <rPr>
        <vertAlign val="superscript"/>
        <sz val="10"/>
        <color theme="1"/>
        <rFont val="Calibri"/>
        <family val="2"/>
      </rPr>
      <t>(6)</t>
    </r>
  </si>
  <si>
    <r>
      <t xml:space="preserve">= [1.0 + (1)] </t>
    </r>
    <r>
      <rPr>
        <vertAlign val="superscript"/>
        <sz val="10"/>
        <color theme="1"/>
        <rFont val="Calibri"/>
        <family val="2"/>
      </rPr>
      <t>(4)</t>
    </r>
  </si>
  <si>
    <r>
      <t xml:space="preserve">·        For companies opting to use this filing template, exhibits C, D, E, and L in the </t>
    </r>
    <r>
      <rPr>
        <u/>
        <sz val="11"/>
        <color rgb="FF0000FF"/>
        <rFont val="Calibri"/>
        <family val="2"/>
        <scheme val="minor"/>
      </rPr>
      <t>Filings Made Easy Guide</t>
    </r>
    <r>
      <rPr>
        <sz val="11"/>
        <color theme="1"/>
        <rFont val="Calibri"/>
        <family val="2"/>
        <scheme val="minor"/>
      </rPr>
      <t xml:space="preserve"> will no
         longer be required as they duplicate information included in this workbook.</t>
    </r>
  </si>
  <si>
    <t>Comparison of the actual historical experience with the expected annual losses from the applicable catastrophe model</t>
  </si>
  <si>
    <t>Confirmed</t>
  </si>
  <si>
    <t>Explanation for any differences between the actual historical experience and modeled expected losses</t>
  </si>
  <si>
    <t>Description of the company-supplied inputs to the model</t>
  </si>
  <si>
    <t>Company adjustments to the model or to the model output, including optional modeling features selected</t>
  </si>
  <si>
    <t>Information on the model, including the number of simulated storms by intensity and the types of storms (including their
      meteorological characteristics) or events modeled</t>
  </si>
  <si>
    <t>Description of how the modeled results were integrated with the actual historical experience so as to avoid the double-counting
     or understatement of expected future losses</t>
  </si>
  <si>
    <t>Unconfirmed</t>
  </si>
  <si>
    <t>If not, provide all the details requested in lines (2) through (13) in Exhibit 8 for the model used to estimate expected reinsurance recoverables, and explain why a different model or parameters were used.</t>
  </si>
  <si>
    <t>Is a catastrophe model used to estimate any catastrophe losses?</t>
  </si>
  <si>
    <t>Cat-to-Non-Cat Ratio</t>
  </si>
  <si>
    <t>Ratio to Non-Catastrophe Losses</t>
  </si>
  <si>
    <t>Ratio to Projected Earned Premium</t>
  </si>
  <si>
    <t>= (1) / (2)</t>
  </si>
  <si>
    <t>Section A: Ratio of Non-Modeled Catastrophe Losses to Non-Catastrophe Losses</t>
  </si>
  <si>
    <t>Section B: Non-Modeled Catastrophe Loss Provision Used</t>
  </si>
  <si>
    <t>As a separate line item</t>
  </si>
  <si>
    <t>With coverage/form premium</t>
  </si>
  <si>
    <t>What formula was used to calculate partial credibility?</t>
  </si>
  <si>
    <t>If the reinsurance expense is treated as variable, explain why it is based on the premium level rather than the number of policies.  Usually, the reinsurance expense is based on the number of policies and should be treated as a fixed expense in the rate indication.</t>
  </si>
  <si>
    <t>Earned
Premium</t>
  </si>
  <si>
    <t>What methodology was used to determine the current rate level factors?</t>
  </si>
  <si>
    <r>
      <t xml:space="preserve">(3) Provide the source and description of the exposure and premium data.
</t>
    </r>
    <r>
      <rPr>
        <sz val="11"/>
        <color theme="1"/>
        <rFont val="Calibri"/>
        <family val="2"/>
      </rPr>
      <t>(Example: Company-specific, dwelling form, earned exposures, earned premium at CRL)</t>
    </r>
  </si>
  <si>
    <r>
      <t xml:space="preserve">Provide the source and description of the loss development data.
</t>
    </r>
    <r>
      <rPr>
        <sz val="11"/>
        <color theme="1"/>
        <rFont val="Calibri"/>
        <family val="2"/>
      </rPr>
      <t>(Example: countrywide, multiple companies, dwelling form, non-catastrophe)</t>
    </r>
  </si>
  <si>
    <r>
      <t xml:space="preserve">Provide the reasoning for the selected age-to-age factors, including the tail factor.
</t>
    </r>
    <r>
      <rPr>
        <sz val="11"/>
        <color theme="1"/>
        <rFont val="Calibri"/>
        <family val="2"/>
      </rPr>
      <t>If any other data or analyses were relied upon, provide them separately.</t>
    </r>
  </si>
  <si>
    <r>
      <t xml:space="preserve">(4) Provide the source and description of the exposure, claim, and loss data.
</t>
    </r>
    <r>
      <rPr>
        <sz val="11"/>
        <color theme="1"/>
        <rFont val="Calibri"/>
        <family val="2"/>
      </rPr>
      <t>(Example: statewide, company-specific, dwelling form, earned exposures, paid claims, paid losses &amp; DCCE, all perils combined)</t>
    </r>
  </si>
  <si>
    <r>
      <rPr>
        <b/>
        <sz val="11"/>
        <color theme="1"/>
        <rFont val="Calibri"/>
        <family val="2"/>
      </rPr>
      <t>Provide the source and description of the loss data.</t>
    </r>
    <r>
      <rPr>
        <sz val="11"/>
        <color theme="1"/>
        <rFont val="Calibri"/>
        <family val="2"/>
      </rPr>
      <t xml:space="preserve">
(Example: statewide, group level, dwelling form, all non-cat and non-modeled cat perils combined)</t>
    </r>
  </si>
  <si>
    <t>Provide support for line (9), including any trend applied to the non-modeled cat losses.</t>
  </si>
  <si>
    <t>Confirm that the support is attached separately.</t>
  </si>
  <si>
    <t>Are the projected modeled cat loss &amp; LAE ratios net or gross of reinsurance recoverables?</t>
  </si>
  <si>
    <t>Explain any differences between the modeled cat loss ratios used in this rate filing and those used in the previous rate filing.</t>
  </si>
  <si>
    <t>Fixed</t>
  </si>
  <si>
    <t>Are the other risk provisions fixed or variable provisions?</t>
  </si>
  <si>
    <t>Fixed Other Risk Provision Not Included as Underwriting Profit</t>
  </si>
  <si>
    <t>Variable Underwriting Profit and Variable Other Risk Provision Not Included as Underwriting Profit</t>
  </si>
  <si>
    <t>Profit and Risk Provisions</t>
  </si>
  <si>
    <t>If none of the general or other acquisition expenses are treated as fixed, explain why these expenses are entirely based on the premium level rather than the number of policies.  Usually, some general and other acquisition expenses do not vary with the premium level and should be treated as fixed expenses in the rate indication.</t>
  </si>
  <si>
    <t>Enter a negative offset as a positive number.</t>
  </si>
  <si>
    <t>Minimum Impact</t>
  </si>
  <si>
    <t>Maximum Impact</t>
  </si>
  <si>
    <t>If the maximum impact is greater than 25 percent or if the minimum impact is less than -25 percent, provide the factors that contributed to these impacts.</t>
  </si>
  <si>
    <t>Proposed Statewide Rate Level Change</t>
  </si>
  <si>
    <r>
      <t xml:space="preserve">Provide a description of the premium that is used to weight the changes by coverage/form to calculate the statewide rate change.
</t>
    </r>
    <r>
      <rPr>
        <sz val="11"/>
        <color theme="1"/>
        <rFont val="Calibri"/>
        <family val="2"/>
      </rPr>
      <t>(Example: In-force premium)</t>
    </r>
  </si>
  <si>
    <t>Projected Loss, LAE, and Fixed Expense Ratio</t>
  </si>
  <si>
    <t>Is the non-modeled catastrophe provision used in the ratemaking calculated as a ratio to the non-catastrophe losses or as a ratio to the projected earned premium?</t>
  </si>
  <si>
    <t>Variable Statewide Net Cost of Reinsurance Expense</t>
  </si>
  <si>
    <t>Total Net Cost of Reinsurance</t>
  </si>
  <si>
    <t>Total Profit and Risk Provisions</t>
  </si>
  <si>
    <t>Total Expense Offset from Fee Income</t>
  </si>
  <si>
    <t>Total Expense Provision</t>
  </si>
  <si>
    <t>Total Fixed Expense Provision</t>
  </si>
  <si>
    <t>Total Variable Expense Provision</t>
  </si>
  <si>
    <t>Fixed General Expense</t>
  </si>
  <si>
    <t>Variable General Expense</t>
  </si>
  <si>
    <t>Fixed Other Acquisition Expense</t>
  </si>
  <si>
    <t>Variable Other Acquisition Expense</t>
  </si>
  <si>
    <t>Fixed Commission Expense</t>
  </si>
  <si>
    <t>Variable Commission Expense</t>
  </si>
  <si>
    <t>Fixed Taxes, Licenses, Fees Expense</t>
  </si>
  <si>
    <t>Variable Taxes, Licenses, Fees Expense</t>
  </si>
  <si>
    <t>Fixed Statewide Net Cost of Reinsurance Expense</t>
  </si>
  <si>
    <t>= (8a) + (8b)</t>
  </si>
  <si>
    <t>1)</t>
  </si>
  <si>
    <t>2)</t>
  </si>
  <si>
    <r>
      <t>(1e</t>
    </r>
    <r>
      <rPr>
        <sz val="8"/>
        <color theme="1"/>
        <rFont val="Calibri"/>
        <family val="2"/>
      </rPr>
      <t>1)</t>
    </r>
  </si>
  <si>
    <r>
      <t>(1e</t>
    </r>
    <r>
      <rPr>
        <sz val="8"/>
        <color theme="1"/>
        <rFont val="Calibri"/>
        <family val="2"/>
      </rPr>
      <t>2)</t>
    </r>
  </si>
  <si>
    <r>
      <rPr>
        <sz val="10"/>
        <rFont val="Calibri"/>
        <family val="2"/>
      </rPr>
      <t xml:space="preserve">From </t>
    </r>
    <r>
      <rPr>
        <sz val="10"/>
        <color theme="10"/>
        <rFont val="Calibri"/>
        <family val="2"/>
      </rPr>
      <t>TDI website</t>
    </r>
  </si>
  <si>
    <r>
      <t>= Min [(1e),(1e</t>
    </r>
    <r>
      <rPr>
        <sz val="8"/>
        <color theme="1"/>
        <rFont val="Calibri"/>
        <family val="2"/>
      </rPr>
      <t>1</t>
    </r>
    <r>
      <rPr>
        <sz val="10"/>
        <color theme="1"/>
        <rFont val="Calibri"/>
        <family val="2"/>
      </rPr>
      <t>)] + (11a from Exhibit E-Expense) / (1d)</t>
    </r>
  </si>
  <si>
    <r>
      <t xml:space="preserve">Confirm compliance with </t>
    </r>
    <r>
      <rPr>
        <u/>
        <sz val="11"/>
        <color rgb="FF0000FF"/>
        <rFont val="Calibri"/>
        <family val="2"/>
      </rPr>
      <t>Tex. Ins. Code § 2251.002</t>
    </r>
    <r>
      <rPr>
        <sz val="11"/>
        <color theme="1"/>
        <rFont val="Calibri"/>
        <family val="2"/>
      </rPr>
      <t>, which prohibits the use in rate calculations of certain administrative expenses that exceed 110% of the industry median (shown in (1e</t>
    </r>
    <r>
      <rPr>
        <sz val="8"/>
        <color theme="1"/>
        <rFont val="Calibri"/>
        <family val="2"/>
      </rPr>
      <t>1</t>
    </r>
    <r>
      <rPr>
        <sz val="11"/>
        <color theme="1"/>
        <rFont val="Calibri"/>
        <family val="2"/>
      </rPr>
      <t>) under General Expense).</t>
    </r>
  </si>
  <si>
    <t>Are the model(s) and parameters used to estimate the expected reinsurance recoverables in row (2) the same as the model(s) and parameters used to estimate the modeled cat losses in Exhibit 8?</t>
  </si>
  <si>
    <t>Are any of the reinsurers that are involved in these arrangements affiliated companies?</t>
  </si>
  <si>
    <t>= (15) Total from Exhibit 8-Modeled Cat</t>
  </si>
  <si>
    <r>
      <t xml:space="preserve">Confirm that support for lines (1), (2), (4), (5), (12), (13), and (18) is attached separately.
</t>
    </r>
    <r>
      <rPr>
        <sz val="11"/>
        <color theme="1"/>
        <rFont val="Calibri"/>
        <family val="2"/>
      </rPr>
      <t>If any other data or analyses were relied upon, provide them separately as well.</t>
    </r>
  </si>
  <si>
    <t>Selected Trend</t>
  </si>
  <si>
    <r>
      <t xml:space="preserve">Provide the reasoning for the selected historical and prospective frequency and severity loss trends.  Include any insights on the driving factors of the trend, separately for frequency and severity.
</t>
    </r>
    <r>
      <rPr>
        <sz val="11"/>
        <color theme="1"/>
        <rFont val="Calibri"/>
        <family val="2"/>
        <scheme val="minor"/>
      </rPr>
      <t>If any other data or analyses were relied upon, provide them separately.</t>
    </r>
  </si>
  <si>
    <t>Straight Averages</t>
  </si>
  <si>
    <t>Weighted Averages</t>
  </si>
  <si>
    <t>30-Year</t>
  </si>
  <si>
    <t>20-Year</t>
  </si>
  <si>
    <t>10-Year</t>
  </si>
  <si>
    <t>List All Fees</t>
  </si>
  <si>
    <t>Fee Amount
New Business</t>
  </si>
  <si>
    <t>Fee Amount
Renewals</t>
  </si>
  <si>
    <t>From midpoint of (3) to midpoint of latest experience year</t>
  </si>
  <si>
    <t>From midpoint of latest experience year to average accident date of effective period</t>
  </si>
  <si>
    <r>
      <t>= [1.0 + (1)]</t>
    </r>
    <r>
      <rPr>
        <vertAlign val="superscript"/>
        <sz val="10"/>
        <color theme="1"/>
        <rFont val="Calibri"/>
        <family val="2"/>
      </rPr>
      <t>(4)</t>
    </r>
  </si>
  <si>
    <r>
      <t>= [1.0 + (2)]</t>
    </r>
    <r>
      <rPr>
        <vertAlign val="superscript"/>
        <sz val="10"/>
        <color theme="1"/>
        <rFont val="Calibri"/>
        <family val="2"/>
      </rPr>
      <t>(6)</t>
    </r>
  </si>
  <si>
    <r>
      <t xml:space="preserve">    (e)Selected  </t>
    </r>
    <r>
      <rPr>
        <b/>
        <sz val="10"/>
        <color theme="1"/>
        <rFont val="Calibri"/>
        <family val="2"/>
      </rPr>
      <t>Company-Provided</t>
    </r>
  </si>
  <si>
    <r>
      <t>= [1 + (4)]</t>
    </r>
    <r>
      <rPr>
        <vertAlign val="superscript"/>
        <sz val="10"/>
        <color theme="1"/>
        <rFont val="Calibri"/>
        <family val="2"/>
      </rPr>
      <t>(5)</t>
    </r>
    <r>
      <rPr>
        <sz val="10"/>
        <color theme="1"/>
        <rFont val="Calibri"/>
        <family val="2"/>
      </rPr>
      <t xml:space="preserve"> - 1.0</t>
    </r>
  </si>
  <si>
    <t>Revised 3/2013</t>
  </si>
  <si>
    <t>5C-Loss Trend, 6-Loss Ratio Trend, and 12B-Effective Return on Equity.</t>
  </si>
  <si>
    <t>Any comments, suggestions, or other feedback may be submitted to pcactuarial@tdi.texas.gov.</t>
  </si>
  <si>
    <t>·        Enter data or comments in all fields in each tab that are highlighted yellow, to the extent that it is available.  Once
         an entry is made, the highlighting will disappear.  In some cases, the answer to a question may highlight an
         additional field.</t>
  </si>
</sst>
</file>

<file path=xl/styles.xml><?xml version="1.0" encoding="utf-8"?>
<styleSheet xmlns="http://schemas.openxmlformats.org/spreadsheetml/2006/main">
  <numFmts count="18">
    <numFmt numFmtId="5" formatCode="&quot;$&quot;#,##0_);\(&quot;$&quot;#,##0\)"/>
    <numFmt numFmtId="7" formatCode="&quot;$&quot;#,##0.00_);\(&quot;$&quot;#,##0.00\)"/>
    <numFmt numFmtId="44" formatCode="_(&quot;$&quot;* #,##0.00_);_(&quot;$&quot;* \(#,##0.00\);_(&quot;$&quot;* &quot;-&quot;??_);_(@_)"/>
    <numFmt numFmtId="43" formatCode="_(* #,##0.00_);_(* \(#,##0.00\);_(* &quot;-&quot;??_);_(@_)"/>
    <numFmt numFmtId="164" formatCode="0.000"/>
    <numFmt numFmtId="165" formatCode="#,##0.000"/>
    <numFmt numFmtId="166" formatCode="0.0%"/>
    <numFmt numFmtId="167" formatCode="m/d/yyyy;@"/>
    <numFmt numFmtId="168" formatCode="0_);\(0\)"/>
    <numFmt numFmtId="169" formatCode="&quot;$&quot;#,##0"/>
    <numFmt numFmtId="170" formatCode="&quot;$&quot;#,##0.00"/>
    <numFmt numFmtId="171" formatCode="_(* #,##0_);_(* \(#,##0\);_(* &quot;-&quot;??_);_(@_)"/>
    <numFmt numFmtId="172" formatCode="0.0"/>
    <numFmt numFmtId="173" formatCode="mm/yyyy"/>
    <numFmt numFmtId="174" formatCode="mm/dd/yy;@"/>
    <numFmt numFmtId="175" formatCode="0.0000%"/>
    <numFmt numFmtId="176" formatCode="#,##0.000_);\(#,##0.000\)"/>
    <numFmt numFmtId="177" formatCode="0.000_);\(0.000\)"/>
  </numFmts>
  <fonts count="69">
    <font>
      <sz val="11"/>
      <color theme="1"/>
      <name val="Calibri"/>
      <family val="2"/>
    </font>
    <font>
      <sz val="11"/>
      <color theme="1"/>
      <name val="Calibri"/>
      <family val="2"/>
      <scheme val="minor"/>
    </font>
    <font>
      <sz val="11"/>
      <color theme="1"/>
      <name val="Calibri"/>
      <family val="2"/>
    </font>
    <font>
      <b/>
      <sz val="11"/>
      <color theme="1"/>
      <name val="Calibri"/>
      <family val="2"/>
    </font>
    <font>
      <sz val="12"/>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3"/>
      <color theme="1"/>
      <name val="Calibri"/>
      <family val="2"/>
    </font>
    <font>
      <b/>
      <sz val="12"/>
      <color theme="1"/>
      <name val="Calibri"/>
      <family val="2"/>
    </font>
    <font>
      <b/>
      <sz val="14"/>
      <color theme="1"/>
      <name val="Calibri"/>
      <family val="2"/>
      <scheme val="minor"/>
    </font>
    <font>
      <b/>
      <sz val="11"/>
      <color theme="0"/>
      <name val="Calibri"/>
      <family val="2"/>
    </font>
    <font>
      <sz val="11"/>
      <color theme="0"/>
      <name val="Calibri"/>
      <family val="2"/>
    </font>
    <font>
      <b/>
      <sz val="12"/>
      <color theme="0"/>
      <name val="Calibri"/>
      <family val="2"/>
      <scheme val="minor"/>
    </font>
    <font>
      <b/>
      <sz val="13"/>
      <color theme="0"/>
      <name val="Calibri"/>
      <family val="2"/>
      <scheme val="minor"/>
    </font>
    <font>
      <sz val="12"/>
      <color theme="0"/>
      <name val="Calibri"/>
      <family val="2"/>
      <scheme val="minor"/>
    </font>
    <font>
      <b/>
      <sz val="11"/>
      <color theme="0"/>
      <name val="Calibri"/>
      <family val="2"/>
      <scheme val="minor"/>
    </font>
    <font>
      <sz val="11"/>
      <name val="Calibri"/>
      <family val="2"/>
    </font>
    <font>
      <b/>
      <sz val="12"/>
      <color theme="0"/>
      <name val="Calibri"/>
      <family val="2"/>
    </font>
    <font>
      <sz val="11"/>
      <color rgb="FFFF0000"/>
      <name val="Calibri"/>
      <family val="2"/>
    </font>
    <font>
      <b/>
      <sz val="11"/>
      <name val="Calibri"/>
      <family val="2"/>
    </font>
    <font>
      <sz val="10"/>
      <color theme="1"/>
      <name val="Calibri"/>
      <family val="2"/>
    </font>
    <font>
      <b/>
      <sz val="10"/>
      <color theme="1"/>
      <name val="Calibri"/>
      <family val="2"/>
    </font>
    <font>
      <b/>
      <sz val="11"/>
      <name val="Calibri"/>
      <family val="2"/>
      <scheme val="minor"/>
    </font>
    <font>
      <u/>
      <sz val="11"/>
      <color theme="10"/>
      <name val="Calibri"/>
      <family val="2"/>
    </font>
    <font>
      <b/>
      <u/>
      <sz val="11"/>
      <color rgb="FF0070C0"/>
      <name val="Calibri"/>
      <family val="2"/>
    </font>
    <font>
      <sz val="10.5"/>
      <color theme="1"/>
      <name val="Calibri"/>
      <family val="2"/>
      <scheme val="minor"/>
    </font>
    <font>
      <sz val="11"/>
      <name val="Calibri"/>
      <family val="2"/>
      <scheme val="minor"/>
    </font>
    <font>
      <u/>
      <sz val="11"/>
      <color theme="1"/>
      <name val="Calibri"/>
      <family val="2"/>
    </font>
    <font>
      <b/>
      <sz val="15"/>
      <color theme="3"/>
      <name val="Calibri"/>
      <family val="2"/>
      <scheme val="minor"/>
    </font>
    <font>
      <b/>
      <sz val="11"/>
      <color theme="3"/>
      <name val="Calibri"/>
      <family val="2"/>
      <scheme val="minor"/>
    </font>
    <font>
      <sz val="10"/>
      <name val="Arial"/>
      <family val="2"/>
    </font>
    <font>
      <b/>
      <sz val="13"/>
      <color theme="3"/>
      <name val="Calibri"/>
      <family val="2"/>
      <scheme val="minor"/>
    </font>
    <font>
      <sz val="10"/>
      <color theme="1"/>
      <name val="Arial"/>
      <family val="2"/>
    </font>
    <font>
      <b/>
      <sz val="13"/>
      <color theme="1"/>
      <name val="Calibri"/>
      <family val="2"/>
      <scheme val="minor"/>
    </font>
    <font>
      <sz val="11"/>
      <color theme="0"/>
      <name val="Calibri"/>
      <family val="2"/>
      <scheme val="minor"/>
    </font>
    <font>
      <sz val="11"/>
      <color indexed="8"/>
      <name val="Calibri"/>
      <family val="2"/>
      <scheme val="minor"/>
    </font>
    <font>
      <sz val="10"/>
      <color indexed="8"/>
      <name val="Arial"/>
      <family val="2"/>
    </font>
    <font>
      <i/>
      <sz val="11"/>
      <name val="Calibri"/>
      <family val="2"/>
      <scheme val="minor"/>
    </font>
    <font>
      <i/>
      <sz val="11"/>
      <color theme="1"/>
      <name val="Calibri"/>
      <family val="2"/>
    </font>
    <font>
      <u/>
      <sz val="10"/>
      <color theme="1"/>
      <name val="Calibri"/>
      <family val="2"/>
    </font>
    <font>
      <b/>
      <sz val="10"/>
      <name val="Calibri"/>
      <family val="2"/>
    </font>
    <font>
      <sz val="10"/>
      <name val="Calibri"/>
      <family val="2"/>
    </font>
    <font>
      <b/>
      <sz val="12"/>
      <name val="Calibri"/>
      <family val="2"/>
      <scheme val="minor"/>
    </font>
    <font>
      <u/>
      <sz val="11"/>
      <color theme="1"/>
      <name val="Calibri"/>
      <family val="2"/>
      <scheme val="minor"/>
    </font>
    <font>
      <sz val="12"/>
      <color rgb="FFFF0000"/>
      <name val="Calibri"/>
      <family val="2"/>
      <scheme val="minor"/>
    </font>
    <font>
      <b/>
      <sz val="11"/>
      <color rgb="FFFF0000"/>
      <name val="Calibri"/>
      <family val="2"/>
    </font>
    <font>
      <sz val="11"/>
      <color rgb="FF000000"/>
      <name val="Calibri"/>
      <family val="2"/>
      <scheme val="minor"/>
    </font>
    <font>
      <u/>
      <sz val="10"/>
      <color indexed="12"/>
      <name val="Arial"/>
      <family val="2"/>
    </font>
    <font>
      <sz val="8"/>
      <name val="Calibri"/>
      <family val="2"/>
      <scheme val="minor"/>
    </font>
    <font>
      <i/>
      <sz val="8"/>
      <name val="Calibri"/>
      <family val="2"/>
      <scheme val="minor"/>
    </font>
    <font>
      <sz val="8"/>
      <color theme="1"/>
      <name val="Calibri"/>
      <family val="2"/>
      <scheme val="minor"/>
    </font>
    <font>
      <b/>
      <sz val="14"/>
      <name val="Calibri"/>
      <family val="2"/>
      <scheme val="minor"/>
    </font>
    <font>
      <u/>
      <sz val="11"/>
      <color theme="10"/>
      <name val="Calibri"/>
      <family val="2"/>
      <scheme val="minor"/>
    </font>
    <font>
      <u/>
      <sz val="11"/>
      <color rgb="FF0000FF"/>
      <name val="Calibri"/>
      <family val="2"/>
      <scheme val="minor"/>
    </font>
    <font>
      <i/>
      <sz val="11"/>
      <color theme="0"/>
      <name val="Calibri"/>
      <family val="2"/>
      <scheme val="minor"/>
    </font>
    <font>
      <u/>
      <sz val="11"/>
      <color rgb="FF0000FF"/>
      <name val="Calibri"/>
      <family val="2"/>
    </font>
    <font>
      <sz val="11"/>
      <color rgb="FF0000FF"/>
      <name val="Calibri"/>
      <family val="2"/>
    </font>
    <font>
      <b/>
      <sz val="12"/>
      <color rgb="FFFF0000"/>
      <name val="Calibri"/>
      <family val="2"/>
    </font>
    <font>
      <b/>
      <sz val="11"/>
      <color rgb="FFFF0000"/>
      <name val="Calibri"/>
      <family val="2"/>
      <scheme val="minor"/>
    </font>
    <font>
      <sz val="11.5"/>
      <color theme="1"/>
      <name val="Calibri"/>
      <family val="2"/>
    </font>
    <font>
      <b/>
      <sz val="11.5"/>
      <color theme="1"/>
      <name val="Calibri"/>
      <family val="2"/>
    </font>
    <font>
      <b/>
      <sz val="11.5"/>
      <color rgb="FFFF0000"/>
      <name val="Calibri"/>
      <family val="2"/>
    </font>
    <font>
      <sz val="10"/>
      <color theme="1"/>
      <name val="Calibri"/>
      <family val="2"/>
      <scheme val="minor"/>
    </font>
    <font>
      <sz val="9"/>
      <color theme="1"/>
      <name val="Calibri"/>
      <family val="2"/>
      <scheme val="minor"/>
    </font>
    <font>
      <sz val="9.5"/>
      <color theme="1"/>
      <name val="Calibri"/>
      <family val="2"/>
      <scheme val="minor"/>
    </font>
    <font>
      <vertAlign val="superscript"/>
      <sz val="10"/>
      <color theme="1"/>
      <name val="Calibri"/>
      <family val="2"/>
    </font>
    <font>
      <sz val="8"/>
      <color theme="1"/>
      <name val="Calibri"/>
      <family val="2"/>
    </font>
    <font>
      <sz val="10"/>
      <color theme="10"/>
      <name val="Calibri"/>
      <family val="2"/>
    </font>
  </fonts>
  <fills count="8">
    <fill>
      <patternFill patternType="none"/>
    </fill>
    <fill>
      <patternFill patternType="gray125"/>
    </fill>
    <fill>
      <patternFill patternType="solid">
        <fgColor theme="0"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EBC8C7"/>
        <bgColor indexed="64"/>
      </patternFill>
    </fill>
  </fills>
  <borders count="8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indexed="64"/>
      </right>
      <top style="hair">
        <color indexed="64"/>
      </top>
      <bottom style="thin">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auto="1"/>
      </bottom>
      <diagonal/>
    </border>
    <border>
      <left style="hair">
        <color indexed="64"/>
      </left>
      <right style="hair">
        <color indexed="64"/>
      </right>
      <top/>
      <bottom style="thin">
        <color auto="1"/>
      </bottom>
      <diagonal/>
    </border>
    <border>
      <left style="hair">
        <color indexed="64"/>
      </left>
      <right style="thin">
        <color indexed="64"/>
      </right>
      <top/>
      <bottom style="thin">
        <color auto="1"/>
      </bottom>
      <diagonal/>
    </border>
    <border>
      <left style="thin">
        <color indexed="64"/>
      </left>
      <right style="hair">
        <color indexed="64"/>
      </right>
      <top/>
      <bottom style="thin">
        <color auto="1"/>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style="hair">
        <color indexed="64"/>
      </left>
      <right/>
      <top style="hair">
        <color indexed="64"/>
      </top>
      <bottom style="hair">
        <color indexed="64"/>
      </bottom>
      <diagonal/>
    </border>
    <border>
      <left/>
      <right style="thin">
        <color indexed="64"/>
      </right>
      <top style="hair">
        <color auto="1"/>
      </top>
      <bottom/>
      <diagonal/>
    </border>
    <border>
      <left style="hair">
        <color indexed="64"/>
      </left>
      <right style="hair">
        <color indexed="64"/>
      </right>
      <top style="thin">
        <color indexed="64"/>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top/>
      <bottom style="hair">
        <color auto="1"/>
      </bottom>
      <diagonal/>
    </border>
    <border>
      <left/>
      <right style="thin">
        <color indexed="64"/>
      </right>
      <top/>
      <bottom style="thin">
        <color indexed="64"/>
      </bottom>
      <diagonal/>
    </border>
    <border>
      <left/>
      <right style="thin">
        <color indexed="64"/>
      </right>
      <top/>
      <bottom/>
      <diagonal/>
    </border>
    <border>
      <left/>
      <right/>
      <top/>
      <bottom style="hair">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auto="1"/>
      </left>
      <right/>
      <top style="hair">
        <color auto="1"/>
      </top>
      <bottom/>
      <diagonal/>
    </border>
    <border>
      <left style="hair">
        <color indexed="64"/>
      </left>
      <right/>
      <top style="hair">
        <color indexed="64"/>
      </top>
      <bottom style="thin">
        <color indexed="64"/>
      </bottom>
      <diagonal/>
    </border>
    <border>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hair">
        <color indexed="64"/>
      </left>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hair">
        <color indexed="64"/>
      </top>
      <bottom/>
      <diagonal/>
    </border>
    <border>
      <left/>
      <right/>
      <top style="hair">
        <color auto="1"/>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auto="1"/>
      </right>
      <top style="hair">
        <color auto="1"/>
      </top>
      <bottom/>
      <diagonal/>
    </border>
    <border>
      <left style="thin">
        <color indexed="64"/>
      </left>
      <right style="hair">
        <color indexed="64"/>
      </right>
      <top/>
      <bottom/>
      <diagonal/>
    </border>
    <border>
      <left style="hair">
        <color indexed="64"/>
      </left>
      <right style="thin">
        <color indexed="64"/>
      </right>
      <top/>
      <bottom/>
      <diagonal/>
    </border>
    <border>
      <left/>
      <right style="hair">
        <color auto="1"/>
      </right>
      <top style="thin">
        <color indexed="64"/>
      </top>
      <bottom/>
      <diagonal/>
    </border>
    <border>
      <left style="hair">
        <color indexed="64"/>
      </left>
      <right/>
      <top style="thin">
        <color indexed="64"/>
      </top>
      <bottom style="thin">
        <color indexed="64"/>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s>
  <cellStyleXfs count="52">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4" fillId="0" borderId="0" applyNumberFormat="0" applyFill="0" applyBorder="0" applyAlignment="0" applyProtection="0">
      <alignment vertical="top"/>
      <protection locked="0"/>
    </xf>
    <xf numFmtId="0" fontId="29" fillId="0" borderId="64" applyNumberFormat="0" applyFill="0" applyAlignment="0" applyProtection="0"/>
    <xf numFmtId="0" fontId="5" fillId="0" borderId="0"/>
    <xf numFmtId="0" fontId="30" fillId="0" borderId="66" applyNumberFormat="0" applyFill="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2" fillId="0" borderId="65" applyNumberFormat="0" applyFill="0" applyAlignment="0" applyProtection="0"/>
    <xf numFmtId="0" fontId="30" fillId="0" borderId="0" applyNumberFormat="0" applyFill="0" applyBorder="0" applyAlignment="0" applyProtection="0"/>
    <xf numFmtId="0" fontId="33" fillId="0" borderId="0"/>
    <xf numFmtId="9" fontId="33" fillId="0" borderId="0" applyFont="0" applyFill="0" applyBorder="0" applyAlignment="0" applyProtection="0"/>
    <xf numFmtId="0" fontId="31" fillId="0" borderId="0"/>
    <xf numFmtId="43" fontId="33" fillId="0" borderId="0" applyFont="0" applyFill="0" applyBorder="0" applyAlignment="0" applyProtection="0"/>
    <xf numFmtId="0" fontId="37" fillId="0" borderId="0"/>
    <xf numFmtId="0" fontId="6" fillId="4" borderId="2"/>
    <xf numFmtId="0" fontId="48" fillId="0" borderId="0" applyNumberFormat="0" applyFill="0" applyBorder="0" applyAlignment="0" applyProtection="0">
      <alignment vertical="top"/>
      <protection locked="0"/>
    </xf>
    <xf numFmtId="0" fontId="31" fillId="0" borderId="0"/>
  </cellStyleXfs>
  <cellXfs count="1645">
    <xf numFmtId="0" fontId="0" fillId="0" borderId="0" xfId="0"/>
    <xf numFmtId="168" fontId="0" fillId="0" borderId="0" xfId="0" applyNumberFormat="1" applyAlignment="1">
      <alignment horizontal="center" vertical="center"/>
    </xf>
    <xf numFmtId="0" fontId="0" fillId="0" borderId="0" xfId="0" quotePrefix="1"/>
    <xf numFmtId="0" fontId="4" fillId="0" borderId="0" xfId="0" applyFont="1" applyBorder="1" applyAlignment="1">
      <alignment horizontal="center"/>
    </xf>
    <xf numFmtId="0" fontId="5" fillId="0" borderId="0" xfId="0" applyFont="1" applyAlignment="1">
      <alignment horizontal="center"/>
    </xf>
    <xf numFmtId="166" fontId="5" fillId="0" borderId="0" xfId="2" applyNumberFormat="1" applyFont="1" applyAlignment="1">
      <alignment horizontal="center"/>
    </xf>
    <xf numFmtId="0" fontId="0" fillId="0" borderId="0" xfId="0" applyAlignment="1">
      <alignment horizontal="center"/>
    </xf>
    <xf numFmtId="0" fontId="5" fillId="0" borderId="7" xfId="0" applyFont="1" applyBorder="1" applyAlignment="1">
      <alignment horizontal="center"/>
    </xf>
    <xf numFmtId="0" fontId="0" fillId="0" borderId="0" xfId="0" applyAlignment="1">
      <alignment horizontal="left"/>
    </xf>
    <xf numFmtId="0" fontId="8" fillId="0" borderId="0" xfId="0" applyFont="1" applyAlignment="1">
      <alignment horizontal="left"/>
    </xf>
    <xf numFmtId="0" fontId="9" fillId="0" borderId="0" xfId="0" applyFont="1" applyAlignment="1">
      <alignment horizontal="left"/>
    </xf>
    <xf numFmtId="14" fontId="0" fillId="0" borderId="0" xfId="0" applyNumberFormat="1" applyAlignment="1">
      <alignment horizontal="center"/>
    </xf>
    <xf numFmtId="166" fontId="0" fillId="0" borderId="0" xfId="2" applyNumberFormat="1" applyFont="1" applyAlignment="1">
      <alignment horizontal="center"/>
    </xf>
    <xf numFmtId="2" fontId="0" fillId="0" borderId="0" xfId="0" applyNumberFormat="1" applyAlignment="1">
      <alignment horizontal="center"/>
    </xf>
    <xf numFmtId="0" fontId="0" fillId="0" borderId="0" xfId="0" applyBorder="1" applyAlignment="1">
      <alignment horizontal="center"/>
    </xf>
    <xf numFmtId="166" fontId="0" fillId="0" borderId="0" xfId="2" applyNumberFormat="1" applyFont="1" applyBorder="1" applyAlignment="1">
      <alignment horizontal="center"/>
    </xf>
    <xf numFmtId="167" fontId="0" fillId="0" borderId="0" xfId="0" applyNumberFormat="1" applyBorder="1" applyAlignment="1">
      <alignment horizontal="center"/>
    </xf>
    <xf numFmtId="0" fontId="0" fillId="0" borderId="15" xfId="0" applyBorder="1" applyAlignment="1">
      <alignment horizontal="center"/>
    </xf>
    <xf numFmtId="0" fontId="4" fillId="0" borderId="0" xfId="0" applyFont="1" applyAlignment="1">
      <alignment vertical="center"/>
    </xf>
    <xf numFmtId="168" fontId="4" fillId="0" borderId="1" xfId="0" quotePrefix="1" applyNumberFormat="1" applyFont="1" applyBorder="1" applyAlignment="1">
      <alignment horizontal="center" vertical="center"/>
    </xf>
    <xf numFmtId="168" fontId="4" fillId="0" borderId="1" xfId="0" applyNumberFormat="1" applyFont="1" applyBorder="1" applyAlignment="1">
      <alignment horizontal="center" vertical="center"/>
    </xf>
    <xf numFmtId="168" fontId="4" fillId="0" borderId="0" xfId="0" applyNumberFormat="1" applyFont="1" applyAlignment="1">
      <alignment horizontal="center" vertical="center"/>
    </xf>
    <xf numFmtId="165" fontId="4" fillId="0" borderId="11" xfId="0" applyNumberFormat="1" applyFont="1" applyFill="1" applyBorder="1" applyAlignment="1">
      <alignment horizontal="center" vertical="center"/>
    </xf>
    <xf numFmtId="164" fontId="4" fillId="0" borderId="11" xfId="2" applyNumberFormat="1" applyFont="1" applyFill="1" applyBorder="1" applyAlignment="1">
      <alignment horizontal="center" vertical="center"/>
    </xf>
    <xf numFmtId="165" fontId="4" fillId="0" borderId="8" xfId="0" applyNumberFormat="1" applyFont="1" applyFill="1" applyBorder="1" applyAlignment="1">
      <alignment horizontal="center" vertical="center"/>
    </xf>
    <xf numFmtId="164" fontId="4" fillId="0" borderId="8" xfId="2" applyNumberFormat="1" applyFont="1" applyFill="1" applyBorder="1" applyAlignment="1">
      <alignment horizontal="center" vertical="center"/>
    </xf>
    <xf numFmtId="0" fontId="4" fillId="0" borderId="18" xfId="0" applyFont="1" applyFill="1" applyBorder="1" applyAlignment="1">
      <alignment horizontal="center" vertical="center"/>
    </xf>
    <xf numFmtId="169" fontId="4" fillId="0" borderId="18" xfId="0" applyNumberFormat="1" applyFont="1" applyBorder="1" applyAlignment="1">
      <alignment horizontal="center" vertical="center"/>
    </xf>
    <xf numFmtId="38" fontId="4" fillId="2" borderId="16" xfId="0" applyNumberFormat="1" applyFont="1" applyFill="1" applyBorder="1" applyAlignment="1">
      <alignment horizontal="center" vertical="center"/>
    </xf>
    <xf numFmtId="169" fontId="4" fillId="0" borderId="17" xfId="0" applyNumberFormat="1" applyFont="1" applyBorder="1" applyAlignment="1">
      <alignment horizontal="center" vertical="center"/>
    </xf>
    <xf numFmtId="166" fontId="4" fillId="0" borderId="17" xfId="0" applyNumberFormat="1" applyFont="1" applyBorder="1" applyAlignment="1">
      <alignment horizontal="center" vertical="center"/>
    </xf>
    <xf numFmtId="38" fontId="4" fillId="0" borderId="0" xfId="0" applyNumberFormat="1" applyFont="1" applyAlignment="1">
      <alignment vertical="center"/>
    </xf>
    <xf numFmtId="166" fontId="4" fillId="0" borderId="0" xfId="2" applyNumberFormat="1" applyFont="1" applyAlignment="1">
      <alignment vertical="center"/>
    </xf>
    <xf numFmtId="166" fontId="4" fillId="0" borderId="0" xfId="0" applyNumberFormat="1" applyFont="1" applyAlignment="1">
      <alignment vertical="center"/>
    </xf>
    <xf numFmtId="168" fontId="4" fillId="0" borderId="0" xfId="0" applyNumberFormat="1" applyFont="1" applyAlignment="1">
      <alignment vertical="center"/>
    </xf>
    <xf numFmtId="0" fontId="4" fillId="0" borderId="0" xfId="0" applyFont="1" applyAlignment="1">
      <alignment horizontal="right" vertical="center"/>
    </xf>
    <xf numFmtId="0" fontId="10" fillId="0" borderId="0" xfId="0" applyFont="1" applyAlignment="1">
      <alignment vertical="center"/>
    </xf>
    <xf numFmtId="0" fontId="4" fillId="0" borderId="19" xfId="0" applyFont="1" applyBorder="1" applyAlignment="1">
      <alignment vertical="center"/>
    </xf>
    <xf numFmtId="0" fontId="0" fillId="0" borderId="7" xfId="0" applyBorder="1" applyAlignment="1">
      <alignment horizontal="center"/>
    </xf>
    <xf numFmtId="166" fontId="3" fillId="0" borderId="9" xfId="2" applyNumberFormat="1" applyFont="1" applyBorder="1" applyAlignment="1">
      <alignment horizontal="center"/>
    </xf>
    <xf numFmtId="0" fontId="0" fillId="0" borderId="14" xfId="0" applyBorder="1" applyAlignment="1">
      <alignment horizontal="center"/>
    </xf>
    <xf numFmtId="166" fontId="3" fillId="0" borderId="12" xfId="2" applyNumberFormat="1" applyFont="1" applyBorder="1" applyAlignment="1">
      <alignment horizontal="center"/>
    </xf>
    <xf numFmtId="166" fontId="0" fillId="2" borderId="34" xfId="2" applyNumberFormat="1" applyFont="1" applyFill="1" applyBorder="1" applyAlignment="1">
      <alignment horizontal="center" wrapText="1"/>
    </xf>
    <xf numFmtId="166" fontId="0" fillId="2" borderId="27" xfId="2" applyNumberFormat="1" applyFont="1" applyFill="1" applyBorder="1" applyAlignment="1">
      <alignment horizontal="center" wrapText="1"/>
    </xf>
    <xf numFmtId="167" fontId="0" fillId="0" borderId="13" xfId="0" applyNumberFormat="1" applyBorder="1" applyAlignment="1">
      <alignment horizontal="center"/>
    </xf>
    <xf numFmtId="167" fontId="0" fillId="0" borderId="14" xfId="0" applyNumberFormat="1" applyBorder="1" applyAlignment="1">
      <alignment horizontal="center"/>
    </xf>
    <xf numFmtId="0" fontId="0" fillId="0" borderId="0" xfId="0" applyAlignment="1">
      <alignment horizontal="center" vertical="center"/>
    </xf>
    <xf numFmtId="169" fontId="5" fillId="0" borderId="0" xfId="0" applyNumberFormat="1" applyFont="1" applyAlignment="1">
      <alignment horizontal="center"/>
    </xf>
    <xf numFmtId="169" fontId="4" fillId="0" borderId="12" xfId="0" applyNumberFormat="1" applyFont="1" applyFill="1" applyBorder="1" applyAlignment="1">
      <alignment horizontal="center" vertical="center"/>
    </xf>
    <xf numFmtId="169" fontId="4" fillId="0" borderId="6" xfId="0" applyNumberFormat="1" applyFont="1" applyFill="1" applyBorder="1" applyAlignment="1">
      <alignment horizontal="center" vertical="center"/>
    </xf>
    <xf numFmtId="169" fontId="4" fillId="0" borderId="9" xfId="0" applyNumberFormat="1" applyFont="1" applyFill="1" applyBorder="1" applyAlignment="1">
      <alignment horizontal="center" vertical="center"/>
    </xf>
    <xf numFmtId="165" fontId="4" fillId="5" borderId="11" xfId="0" applyNumberFormat="1" applyFont="1" applyFill="1" applyBorder="1" applyAlignment="1">
      <alignment horizontal="center" vertical="center"/>
    </xf>
    <xf numFmtId="164" fontId="4" fillId="5" borderId="11" xfId="2" applyNumberFormat="1" applyFont="1" applyFill="1" applyBorder="1" applyAlignment="1">
      <alignment horizontal="center" vertical="center"/>
    </xf>
    <xf numFmtId="169" fontId="4" fillId="5" borderId="6" xfId="0" applyNumberFormat="1" applyFont="1" applyFill="1" applyBorder="1" applyAlignment="1">
      <alignment horizontal="center" vertical="center"/>
    </xf>
    <xf numFmtId="169" fontId="4" fillId="5" borderId="6" xfId="2" applyNumberFormat="1" applyFont="1" applyFill="1" applyBorder="1" applyAlignment="1">
      <alignment horizontal="center" vertical="center"/>
    </xf>
    <xf numFmtId="166" fontId="4" fillId="5" borderId="6" xfId="2" applyNumberFormat="1" applyFont="1" applyFill="1" applyBorder="1" applyAlignment="1">
      <alignment horizontal="center" vertical="center"/>
    </xf>
    <xf numFmtId="0" fontId="13" fillId="3" borderId="29" xfId="0" applyFont="1" applyFill="1" applyBorder="1" applyAlignment="1">
      <alignment vertical="center"/>
    </xf>
    <xf numFmtId="0" fontId="15" fillId="3" borderId="30" xfId="0" applyFont="1" applyFill="1" applyBorder="1" applyAlignment="1">
      <alignment vertical="center"/>
    </xf>
    <xf numFmtId="0" fontId="7" fillId="5" borderId="20" xfId="0" applyFont="1" applyFill="1" applyBorder="1" applyAlignment="1">
      <alignment vertical="center"/>
    </xf>
    <xf numFmtId="0" fontId="4" fillId="5" borderId="21" xfId="0" applyFont="1" applyFill="1" applyBorder="1" applyAlignment="1">
      <alignment vertical="center"/>
    </xf>
    <xf numFmtId="0" fontId="4" fillId="5" borderId="26" xfId="0" applyFont="1" applyFill="1" applyBorder="1" applyAlignment="1">
      <alignment vertical="center"/>
    </xf>
    <xf numFmtId="0" fontId="7" fillId="5" borderId="22" xfId="0" applyFont="1" applyFill="1" applyBorder="1" applyAlignment="1">
      <alignment vertical="center"/>
    </xf>
    <xf numFmtId="0" fontId="4" fillId="5" borderId="23" xfId="0" applyFont="1" applyFill="1" applyBorder="1" applyAlignment="1">
      <alignment vertical="center"/>
    </xf>
    <xf numFmtId="0" fontId="4" fillId="5" borderId="27" xfId="0" applyFont="1" applyFill="1" applyBorder="1" applyAlignment="1">
      <alignment vertical="center"/>
    </xf>
    <xf numFmtId="0" fontId="7" fillId="5" borderId="24" xfId="0" applyFont="1" applyFill="1" applyBorder="1" applyAlignment="1">
      <alignment vertical="center"/>
    </xf>
    <xf numFmtId="0" fontId="4" fillId="5" borderId="25" xfId="0" applyFont="1" applyFill="1" applyBorder="1" applyAlignment="1">
      <alignment vertical="center"/>
    </xf>
    <xf numFmtId="0" fontId="4" fillId="5" borderId="28" xfId="0" applyFont="1" applyFill="1" applyBorder="1" applyAlignment="1">
      <alignment vertical="center"/>
    </xf>
    <xf numFmtId="167" fontId="5" fillId="5" borderId="13" xfId="0" applyNumberFormat="1" applyFont="1" applyFill="1" applyBorder="1" applyAlignment="1">
      <alignment horizontal="center"/>
    </xf>
    <xf numFmtId="166" fontId="5" fillId="5" borderId="4" xfId="2" applyNumberFormat="1" applyFont="1" applyFill="1" applyBorder="1" applyAlignment="1">
      <alignment horizontal="center"/>
    </xf>
    <xf numFmtId="166" fontId="5" fillId="5" borderId="6" xfId="2" applyNumberFormat="1" applyFont="1" applyFill="1" applyBorder="1" applyAlignment="1">
      <alignment horizontal="center"/>
    </xf>
    <xf numFmtId="166" fontId="5" fillId="5" borderId="9" xfId="2" applyNumberFormat="1" applyFont="1" applyFill="1" applyBorder="1" applyAlignment="1">
      <alignment horizontal="center"/>
    </xf>
    <xf numFmtId="0" fontId="5" fillId="5" borderId="4" xfId="0" applyFont="1" applyFill="1" applyBorder="1" applyAlignment="1">
      <alignment horizontal="center"/>
    </xf>
    <xf numFmtId="166" fontId="6" fillId="0" borderId="9" xfId="2" applyNumberFormat="1"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166" fontId="0" fillId="5" borderId="4" xfId="2" applyNumberFormat="1" applyFont="1" applyFill="1" applyBorder="1" applyAlignment="1">
      <alignment horizontal="center"/>
    </xf>
    <xf numFmtId="166" fontId="0" fillId="5" borderId="5" xfId="2" applyNumberFormat="1" applyFont="1" applyFill="1" applyBorder="1" applyAlignment="1">
      <alignment horizontal="center"/>
    </xf>
    <xf numFmtId="166" fontId="0" fillId="5" borderId="6" xfId="2" applyNumberFormat="1" applyFont="1" applyFill="1" applyBorder="1" applyAlignment="1">
      <alignment horizontal="center"/>
    </xf>
    <xf numFmtId="166" fontId="0" fillId="5" borderId="9" xfId="2" applyNumberFormat="1" applyFont="1" applyFill="1" applyBorder="1" applyAlignment="1">
      <alignment horizontal="center"/>
    </xf>
    <xf numFmtId="166" fontId="5" fillId="0" borderId="6" xfId="2" applyNumberFormat="1" applyFont="1" applyFill="1" applyBorder="1" applyAlignment="1">
      <alignment horizontal="center"/>
    </xf>
    <xf numFmtId="169" fontId="4" fillId="0" borderId="12" xfId="2" applyNumberFormat="1" applyFont="1" applyFill="1" applyBorder="1" applyAlignment="1">
      <alignment horizontal="center" vertical="center"/>
    </xf>
    <xf numFmtId="166" fontId="4" fillId="0" borderId="11" xfId="2" applyNumberFormat="1" applyFont="1" applyFill="1" applyBorder="1" applyAlignment="1">
      <alignment horizontal="center" vertical="center"/>
    </xf>
    <xf numFmtId="169" fontId="4" fillId="0" borderId="6" xfId="2" applyNumberFormat="1" applyFont="1" applyFill="1" applyBorder="1" applyAlignment="1">
      <alignment horizontal="center" vertical="center"/>
    </xf>
    <xf numFmtId="166" fontId="4" fillId="0" borderId="6" xfId="2" applyNumberFormat="1" applyFont="1" applyFill="1" applyBorder="1" applyAlignment="1">
      <alignment horizontal="center" vertical="center"/>
    </xf>
    <xf numFmtId="169" fontId="4" fillId="0" borderId="9" xfId="2" applyNumberFormat="1" applyFont="1" applyFill="1" applyBorder="1" applyAlignment="1">
      <alignment horizontal="center" vertical="center"/>
    </xf>
    <xf numFmtId="0" fontId="7" fillId="0" borderId="22" xfId="0" applyFont="1" applyFill="1" applyBorder="1" applyAlignment="1">
      <alignment vertical="center"/>
    </xf>
    <xf numFmtId="0" fontId="4" fillId="0" borderId="23" xfId="0" applyFont="1" applyFill="1" applyBorder="1" applyAlignment="1">
      <alignment vertical="center"/>
    </xf>
    <xf numFmtId="0" fontId="4" fillId="0" borderId="27" xfId="0" applyFont="1" applyFill="1" applyBorder="1" applyAlignment="1">
      <alignment vertical="center"/>
    </xf>
    <xf numFmtId="0" fontId="0" fillId="0" borderId="0" xfId="0" applyAlignment="1">
      <alignment horizontal="right"/>
    </xf>
    <xf numFmtId="164" fontId="0" fillId="0" borderId="0" xfId="0" applyNumberFormat="1" applyAlignment="1">
      <alignment horizontal="center"/>
    </xf>
    <xf numFmtId="0" fontId="5" fillId="0" borderId="10" xfId="0" applyFont="1" applyBorder="1" applyAlignment="1">
      <alignment horizontal="center"/>
    </xf>
    <xf numFmtId="166" fontId="6" fillId="0" borderId="12" xfId="2" applyNumberFormat="1" applyFont="1" applyFill="1" applyBorder="1" applyAlignment="1">
      <alignment horizontal="center"/>
    </xf>
    <xf numFmtId="0" fontId="0" fillId="0" borderId="10" xfId="0" applyBorder="1" applyAlignment="1">
      <alignment horizontal="center"/>
    </xf>
    <xf numFmtId="0" fontId="12" fillId="0" borderId="0" xfId="0" applyFont="1" applyFill="1" applyBorder="1" applyAlignment="1">
      <alignment horizontal="center"/>
    </xf>
    <xf numFmtId="164" fontId="0" fillId="0" borderId="34" xfId="0" applyNumberFormat="1" applyFill="1" applyBorder="1" applyAlignment="1">
      <alignment horizontal="center"/>
    </xf>
    <xf numFmtId="0" fontId="0" fillId="6" borderId="46" xfId="0" applyFill="1" applyBorder="1" applyAlignment="1">
      <alignment horizontal="center"/>
    </xf>
    <xf numFmtId="0" fontId="0" fillId="6" borderId="0" xfId="0" applyFill="1" applyBorder="1" applyAlignment="1">
      <alignment horizontal="center"/>
    </xf>
    <xf numFmtId="164" fontId="0" fillId="6" borderId="0" xfId="0" applyNumberFormat="1" applyFill="1" applyBorder="1" applyAlignment="1">
      <alignment horizontal="center"/>
    </xf>
    <xf numFmtId="164" fontId="0" fillId="6" borderId="46" xfId="0" applyNumberFormat="1" applyFill="1" applyBorder="1" applyAlignment="1">
      <alignment horizontal="center"/>
    </xf>
    <xf numFmtId="0" fontId="0" fillId="6" borderId="1" xfId="0" applyFill="1" applyBorder="1" applyAlignment="1">
      <alignment horizontal="center"/>
    </xf>
    <xf numFmtId="0" fontId="0" fillId="6" borderId="45" xfId="0" applyFill="1" applyBorder="1" applyAlignment="1">
      <alignment horizontal="center"/>
    </xf>
    <xf numFmtId="167" fontId="0" fillId="5" borderId="14" xfId="0" applyNumberFormat="1" applyFill="1" applyBorder="1" applyAlignment="1">
      <alignment horizontal="center"/>
    </xf>
    <xf numFmtId="167" fontId="0" fillId="5" borderId="13" xfId="0" applyNumberFormat="1" applyFill="1" applyBorder="1" applyAlignment="1">
      <alignment horizontal="center"/>
    </xf>
    <xf numFmtId="164" fontId="0" fillId="5" borderId="34" xfId="0" applyNumberFormat="1" applyFill="1" applyBorder="1" applyAlignment="1">
      <alignment horizontal="center"/>
    </xf>
    <xf numFmtId="0" fontId="0" fillId="4" borderId="40" xfId="0" quotePrefix="1" applyFill="1" applyBorder="1" applyAlignment="1">
      <alignment horizontal="center"/>
    </xf>
    <xf numFmtId="0" fontId="0" fillId="4" borderId="42" xfId="0" quotePrefix="1" applyFill="1" applyBorder="1" applyAlignment="1">
      <alignment horizontal="center"/>
    </xf>
    <xf numFmtId="0" fontId="0" fillId="4" borderId="41" xfId="0" quotePrefix="1" applyFill="1" applyBorder="1" applyAlignment="1">
      <alignment horizontal="center"/>
    </xf>
    <xf numFmtId="167" fontId="0" fillId="2" borderId="14" xfId="0" applyNumberFormat="1" applyFont="1" applyFill="1" applyBorder="1" applyAlignment="1">
      <alignment horizontal="center"/>
    </xf>
    <xf numFmtId="169" fontId="0" fillId="2" borderId="11" xfId="0" applyNumberFormat="1" applyFont="1" applyFill="1" applyBorder="1" applyAlignment="1">
      <alignment horizontal="center" wrapText="1"/>
    </xf>
    <xf numFmtId="170" fontId="0" fillId="2" borderId="12" xfId="0" applyNumberFormat="1" applyFont="1" applyFill="1" applyBorder="1" applyAlignment="1">
      <alignment horizontal="center" wrapText="1"/>
    </xf>
    <xf numFmtId="167" fontId="0" fillId="2" borderId="13" xfId="0" applyNumberFormat="1" applyFont="1" applyFill="1" applyBorder="1" applyAlignment="1">
      <alignment horizontal="center"/>
    </xf>
    <xf numFmtId="169" fontId="0" fillId="2" borderId="5" xfId="0" applyNumberFormat="1" applyFont="1" applyFill="1" applyBorder="1" applyAlignment="1">
      <alignment horizontal="center" wrapText="1"/>
    </xf>
    <xf numFmtId="170" fontId="0" fillId="2" borderId="6" xfId="0" applyNumberFormat="1" applyFont="1" applyFill="1" applyBorder="1" applyAlignment="1">
      <alignment horizontal="center" wrapText="1"/>
    </xf>
    <xf numFmtId="166" fontId="0" fillId="0" borderId="27" xfId="2" applyNumberFormat="1" applyFont="1" applyFill="1" applyBorder="1" applyAlignment="1">
      <alignment horizontal="center"/>
    </xf>
    <xf numFmtId="166" fontId="0" fillId="0" borderId="34" xfId="2" applyNumberFormat="1" applyFont="1" applyFill="1" applyBorder="1" applyAlignment="1">
      <alignment horizontal="center"/>
    </xf>
    <xf numFmtId="166" fontId="0" fillId="5" borderId="27" xfId="2" applyNumberFormat="1" applyFont="1" applyFill="1" applyBorder="1" applyAlignment="1">
      <alignment horizontal="center"/>
    </xf>
    <xf numFmtId="5" fontId="0" fillId="0" borderId="11" xfId="3" applyNumberFormat="1" applyFont="1" applyFill="1" applyBorder="1" applyAlignment="1">
      <alignment horizontal="center"/>
    </xf>
    <xf numFmtId="5" fontId="0" fillId="5" borderId="5" xfId="3" applyNumberFormat="1" applyFont="1" applyFill="1" applyBorder="1" applyAlignment="1">
      <alignment horizontal="center"/>
    </xf>
    <xf numFmtId="5" fontId="0" fillId="0" borderId="5" xfId="3" applyNumberFormat="1" applyFont="1" applyFill="1" applyBorder="1" applyAlignment="1">
      <alignment horizontal="center"/>
    </xf>
    <xf numFmtId="7" fontId="0" fillId="0" borderId="12" xfId="3" applyNumberFormat="1" applyFont="1" applyFill="1" applyBorder="1" applyAlignment="1">
      <alignment horizontal="center"/>
    </xf>
    <xf numFmtId="7" fontId="0" fillId="5" borderId="6" xfId="3" applyNumberFormat="1" applyFont="1" applyFill="1" applyBorder="1" applyAlignment="1">
      <alignment horizontal="center"/>
    </xf>
    <xf numFmtId="7" fontId="0" fillId="0" borderId="6" xfId="3" applyNumberFormat="1" applyFont="1" applyFill="1" applyBorder="1" applyAlignment="1">
      <alignment horizontal="center"/>
    </xf>
    <xf numFmtId="5" fontId="0" fillId="5" borderId="8" xfId="3" applyNumberFormat="1" applyFont="1" applyFill="1" applyBorder="1" applyAlignment="1">
      <alignment horizontal="center"/>
    </xf>
    <xf numFmtId="7" fontId="0" fillId="5" borderId="9" xfId="3" applyNumberFormat="1" applyFont="1" applyFill="1" applyBorder="1" applyAlignment="1">
      <alignment horizontal="center"/>
    </xf>
    <xf numFmtId="166" fontId="0" fillId="0" borderId="4" xfId="2" applyNumberFormat="1" applyFont="1"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166" fontId="0" fillId="0" borderId="5" xfId="2" applyNumberFormat="1" applyFont="1" applyFill="1" applyBorder="1" applyAlignment="1">
      <alignment horizontal="center"/>
    </xf>
    <xf numFmtId="166" fontId="0" fillId="0" borderId="6" xfId="2" applyNumberFormat="1" applyFont="1" applyFill="1" applyBorder="1" applyAlignment="1">
      <alignment horizontal="center"/>
    </xf>
    <xf numFmtId="0" fontId="0" fillId="0" borderId="0" xfId="0" applyFont="1"/>
    <xf numFmtId="167" fontId="5" fillId="0" borderId="10" xfId="0" applyNumberFormat="1" applyFont="1" applyFill="1" applyBorder="1" applyAlignment="1">
      <alignment horizontal="center" vertical="center"/>
    </xf>
    <xf numFmtId="165" fontId="5" fillId="0" borderId="11" xfId="0" applyNumberFormat="1" applyFont="1" applyFill="1" applyBorder="1" applyAlignment="1">
      <alignment horizontal="center" vertical="center"/>
    </xf>
    <xf numFmtId="165" fontId="5" fillId="5" borderId="11" xfId="0" applyNumberFormat="1" applyFont="1" applyFill="1" applyBorder="1" applyAlignment="1">
      <alignment horizontal="center" vertical="center"/>
    </xf>
    <xf numFmtId="165" fontId="5" fillId="0" borderId="8" xfId="0" applyNumberFormat="1" applyFont="1" applyFill="1" applyBorder="1" applyAlignment="1">
      <alignment horizontal="center" vertical="center"/>
    </xf>
    <xf numFmtId="0" fontId="0" fillId="0" borderId="10" xfId="0" applyFont="1" applyBorder="1" applyAlignment="1">
      <alignment horizontal="center"/>
    </xf>
    <xf numFmtId="0" fontId="0" fillId="0" borderId="7" xfId="0" applyFont="1" applyBorder="1" applyAlignment="1">
      <alignment horizontal="center"/>
    </xf>
    <xf numFmtId="4" fontId="5" fillId="0" borderId="5" xfId="0" applyNumberFormat="1" applyFont="1" applyFill="1" applyBorder="1" applyAlignment="1">
      <alignment horizontal="center" vertical="center"/>
    </xf>
    <xf numFmtId="168" fontId="5" fillId="0" borderId="0" xfId="0" quotePrefix="1" applyNumberFormat="1" applyFont="1" applyBorder="1" applyAlignment="1">
      <alignment horizontal="center" vertical="center"/>
    </xf>
    <xf numFmtId="168" fontId="5" fillId="0" borderId="0" xfId="0" applyNumberFormat="1" applyFont="1" applyBorder="1" applyAlignment="1">
      <alignment horizontal="center" vertical="center"/>
    </xf>
    <xf numFmtId="2" fontId="5" fillId="0" borderId="11" xfId="0" applyNumberFormat="1" applyFont="1" applyFill="1" applyBorder="1" applyAlignment="1">
      <alignment horizontal="center" vertical="center"/>
    </xf>
    <xf numFmtId="4" fontId="5" fillId="0" borderId="11" xfId="0" applyNumberFormat="1" applyFont="1" applyFill="1" applyBorder="1" applyAlignment="1">
      <alignment horizontal="center" vertical="center"/>
    </xf>
    <xf numFmtId="167" fontId="5" fillId="0" borderId="4"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167" fontId="5" fillId="0" borderId="7" xfId="0" applyNumberFormat="1" applyFont="1" applyFill="1" applyBorder="1" applyAlignment="1">
      <alignment horizontal="center" vertical="center"/>
    </xf>
    <xf numFmtId="2" fontId="5" fillId="0" borderId="8" xfId="0" applyNumberFormat="1" applyFont="1" applyFill="1" applyBorder="1" applyAlignment="1">
      <alignment horizontal="center" vertical="center"/>
    </xf>
    <xf numFmtId="0" fontId="16"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168" fontId="0" fillId="0" borderId="0" xfId="0" applyNumberFormat="1" applyFont="1"/>
    <xf numFmtId="0" fontId="0" fillId="0" borderId="0" xfId="0" applyFont="1" applyBorder="1" applyAlignment="1">
      <alignment horizontal="center"/>
    </xf>
    <xf numFmtId="166" fontId="3" fillId="0" borderId="0" xfId="2" applyNumberFormat="1" applyFont="1" applyBorder="1" applyAlignment="1">
      <alignment horizontal="center"/>
    </xf>
    <xf numFmtId="168" fontId="0" fillId="0" borderId="0" xfId="0" applyNumberFormat="1" applyFont="1" applyAlignment="1">
      <alignment horizontal="left"/>
    </xf>
    <xf numFmtId="4" fontId="5" fillId="0" borderId="8" xfId="0" applyNumberFormat="1" applyFont="1" applyFill="1" applyBorder="1" applyAlignment="1">
      <alignment horizontal="center" vertical="center"/>
    </xf>
    <xf numFmtId="0" fontId="17" fillId="0" borderId="0" xfId="0" applyFont="1"/>
    <xf numFmtId="0" fontId="19" fillId="0" borderId="0" xfId="0" applyFont="1"/>
    <xf numFmtId="0" fontId="17" fillId="0" borderId="0" xfId="0" quotePrefix="1" applyFont="1"/>
    <xf numFmtId="166" fontId="5" fillId="0" borderId="12" xfId="2" applyNumberFormat="1" applyFont="1" applyFill="1" applyBorder="1" applyAlignment="1">
      <alignment horizontal="center" vertical="center"/>
    </xf>
    <xf numFmtId="166" fontId="5" fillId="0" borderId="9" xfId="2" applyNumberFormat="1" applyFont="1" applyFill="1" applyBorder="1" applyAlignment="1">
      <alignment horizontal="center" vertical="center"/>
    </xf>
    <xf numFmtId="168" fontId="0" fillId="0" borderId="0" xfId="0" applyNumberFormat="1"/>
    <xf numFmtId="0" fontId="12" fillId="3" borderId="32" xfId="0" applyFont="1" applyFill="1" applyBorder="1"/>
    <xf numFmtId="0" fontId="11" fillId="3" borderId="2" xfId="0" applyFont="1" applyFill="1" applyBorder="1" applyAlignment="1">
      <alignment horizontal="center"/>
    </xf>
    <xf numFmtId="0" fontId="12" fillId="3" borderId="32" xfId="0" applyFont="1" applyFill="1" applyBorder="1" applyAlignment="1">
      <alignment horizontal="center"/>
    </xf>
    <xf numFmtId="0" fontId="0" fillId="0" borderId="0" xfId="0" applyFill="1" applyBorder="1" applyAlignment="1">
      <alignment horizontal="center"/>
    </xf>
    <xf numFmtId="0" fontId="15" fillId="3" borderId="61" xfId="0" applyFont="1" applyFill="1" applyBorder="1" applyAlignment="1">
      <alignment vertical="center"/>
    </xf>
    <xf numFmtId="0" fontId="12" fillId="0" borderId="0" xfId="0" applyFont="1" applyFill="1"/>
    <xf numFmtId="0" fontId="0" fillId="0" borderId="0" xfId="0" applyBorder="1"/>
    <xf numFmtId="0" fontId="18" fillId="3" borderId="31" xfId="0" applyFont="1" applyFill="1" applyBorder="1" applyAlignment="1">
      <alignment horizontal="left"/>
    </xf>
    <xf numFmtId="0" fontId="12" fillId="3" borderId="33" xfId="0" applyFont="1" applyFill="1" applyBorder="1"/>
    <xf numFmtId="166" fontId="5" fillId="5" borderId="12" xfId="2" applyNumberFormat="1" applyFont="1" applyFill="1" applyBorder="1" applyAlignment="1">
      <alignment horizontal="center" vertical="center"/>
    </xf>
    <xf numFmtId="167" fontId="0" fillId="5" borderId="15" xfId="0" applyNumberFormat="1" applyFill="1" applyBorder="1" applyAlignment="1">
      <alignment horizontal="center"/>
    </xf>
    <xf numFmtId="167" fontId="5" fillId="5" borderId="4" xfId="0" applyNumberFormat="1" applyFont="1" applyFill="1" applyBorder="1" applyAlignment="1">
      <alignment horizontal="center" vertical="center"/>
    </xf>
    <xf numFmtId="2" fontId="5" fillId="5" borderId="11" xfId="0" applyNumberFormat="1" applyFont="1" applyFill="1" applyBorder="1" applyAlignment="1">
      <alignment horizontal="center" vertical="center"/>
    </xf>
    <xf numFmtId="4" fontId="5" fillId="5" borderId="11" xfId="0" applyNumberFormat="1" applyFont="1" applyFill="1" applyBorder="1" applyAlignment="1">
      <alignment horizontal="center" vertical="center"/>
    </xf>
    <xf numFmtId="2" fontId="5" fillId="5" borderId="5" xfId="0" applyNumberFormat="1" applyFont="1" applyFill="1" applyBorder="1" applyAlignment="1">
      <alignment horizontal="center" vertical="center"/>
    </xf>
    <xf numFmtId="4" fontId="5" fillId="5" borderId="5" xfId="0" applyNumberFormat="1" applyFont="1" applyFill="1" applyBorder="1" applyAlignment="1">
      <alignment horizontal="center" vertical="center"/>
    </xf>
    <xf numFmtId="167" fontId="5" fillId="0" borderId="14" xfId="0" applyNumberFormat="1" applyFont="1" applyFill="1" applyBorder="1" applyAlignment="1">
      <alignment horizontal="center"/>
    </xf>
    <xf numFmtId="166" fontId="5" fillId="0" borderId="12" xfId="2" applyNumberFormat="1" applyFont="1" applyFill="1" applyBorder="1" applyAlignment="1">
      <alignment horizontal="center"/>
    </xf>
    <xf numFmtId="167" fontId="5" fillId="0" borderId="13" xfId="0" applyNumberFormat="1" applyFont="1" applyFill="1" applyBorder="1" applyAlignment="1">
      <alignment horizontal="center"/>
    </xf>
    <xf numFmtId="167" fontId="5" fillId="0" borderId="15" xfId="0" applyNumberFormat="1" applyFont="1" applyFill="1" applyBorder="1" applyAlignment="1">
      <alignment horizontal="center"/>
    </xf>
    <xf numFmtId="166" fontId="5" fillId="0" borderId="9" xfId="2" applyNumberFormat="1" applyFont="1" applyFill="1" applyBorder="1" applyAlignment="1">
      <alignment horizontal="center"/>
    </xf>
    <xf numFmtId="0" fontId="5" fillId="0" borderId="10" xfId="0" applyFont="1" applyFill="1" applyBorder="1" applyAlignment="1">
      <alignment horizontal="center"/>
    </xf>
    <xf numFmtId="0" fontId="5" fillId="0" borderId="4" xfId="0" applyFont="1" applyFill="1" applyBorder="1" applyAlignment="1">
      <alignment horizontal="center"/>
    </xf>
    <xf numFmtId="0" fontId="5" fillId="5" borderId="7" xfId="0" applyFont="1" applyFill="1" applyBorder="1" applyAlignment="1">
      <alignment horizontal="center"/>
    </xf>
    <xf numFmtId="0" fontId="11" fillId="3" borderId="2" xfId="0" applyFont="1" applyFill="1" applyBorder="1" applyAlignment="1">
      <alignment horizontal="center"/>
    </xf>
    <xf numFmtId="166" fontId="0" fillId="0" borderId="13" xfId="2" applyNumberFormat="1" applyFont="1" applyFill="1" applyBorder="1" applyAlignment="1">
      <alignment horizontal="center"/>
    </xf>
    <xf numFmtId="166" fontId="0" fillId="5" borderId="13" xfId="2" applyNumberFormat="1" applyFont="1" applyFill="1" applyBorder="1" applyAlignment="1">
      <alignment horizontal="center"/>
    </xf>
    <xf numFmtId="0" fontId="13" fillId="3" borderId="31" xfId="0" applyFont="1" applyFill="1" applyBorder="1" applyAlignment="1">
      <alignment horizontal="left"/>
    </xf>
    <xf numFmtId="0" fontId="4" fillId="3" borderId="33" xfId="0" applyFont="1" applyFill="1" applyBorder="1" applyAlignment="1">
      <alignment horizontal="center"/>
    </xf>
    <xf numFmtId="166" fontId="0" fillId="0" borderId="42" xfId="2" applyNumberFormat="1" applyFont="1" applyBorder="1" applyAlignment="1">
      <alignment horizontal="center"/>
    </xf>
    <xf numFmtId="0" fontId="18" fillId="3" borderId="31" xfId="0" applyFont="1" applyFill="1" applyBorder="1" applyAlignment="1">
      <alignment horizontal="left" vertical="center"/>
    </xf>
    <xf numFmtId="0" fontId="12" fillId="3" borderId="33" xfId="0" applyFont="1" applyFill="1" applyBorder="1" applyAlignment="1">
      <alignment horizontal="center"/>
    </xf>
    <xf numFmtId="0" fontId="18" fillId="3" borderId="2" xfId="0" applyFont="1" applyFill="1" applyBorder="1" applyAlignment="1">
      <alignment horizontal="center" vertical="center"/>
    </xf>
    <xf numFmtId="0" fontId="14" fillId="3" borderId="31" xfId="0" applyFont="1" applyFill="1" applyBorder="1" applyAlignment="1">
      <alignment horizontal="left" vertical="center"/>
    </xf>
    <xf numFmtId="0" fontId="15" fillId="3" borderId="33" xfId="0" applyFont="1" applyFill="1" applyBorder="1" applyAlignment="1">
      <alignment horizontal="left" vertical="center"/>
    </xf>
    <xf numFmtId="0" fontId="15" fillId="0" borderId="0" xfId="0" applyFont="1" applyFill="1" applyAlignment="1">
      <alignment horizontal="left" vertical="center"/>
    </xf>
    <xf numFmtId="0" fontId="13" fillId="3" borderId="2" xfId="0" applyFont="1" applyFill="1" applyBorder="1" applyAlignment="1">
      <alignment horizontal="center" vertical="center"/>
    </xf>
    <xf numFmtId="0" fontId="12" fillId="0" borderId="0" xfId="0" applyFont="1" applyFill="1" applyBorder="1"/>
    <xf numFmtId="166" fontId="0" fillId="5" borderId="8" xfId="2" applyNumberFormat="1" applyFont="1" applyFill="1" applyBorder="1" applyAlignment="1">
      <alignment horizontal="center"/>
    </xf>
    <xf numFmtId="0" fontId="11" fillId="3" borderId="2" xfId="0" applyFont="1" applyFill="1" applyBorder="1" applyAlignment="1">
      <alignment horizontal="center" vertical="center"/>
    </xf>
    <xf numFmtId="5" fontId="11" fillId="3" borderId="2" xfId="1" applyNumberFormat="1" applyFont="1" applyFill="1" applyBorder="1" applyAlignment="1">
      <alignment horizontal="center"/>
    </xf>
    <xf numFmtId="10" fontId="11" fillId="3" borderId="2" xfId="2" applyNumberFormat="1" applyFont="1" applyFill="1" applyBorder="1" applyAlignment="1">
      <alignment horizontal="center"/>
    </xf>
    <xf numFmtId="0" fontId="11" fillId="3" borderId="2" xfId="0" applyFont="1" applyFill="1" applyBorder="1" applyAlignment="1">
      <alignment horizontal="center" vertical="center" wrapText="1"/>
    </xf>
    <xf numFmtId="166" fontId="11" fillId="3" borderId="31" xfId="2"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xf numFmtId="0" fontId="21" fillId="0" borderId="0" xfId="0" applyFont="1"/>
    <xf numFmtId="0" fontId="22" fillId="0" borderId="0" xfId="0" applyFont="1"/>
    <xf numFmtId="0" fontId="8" fillId="0" borderId="0" xfId="0" applyFont="1" applyAlignment="1">
      <alignment horizontal="left" vertical="center"/>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0" borderId="0" xfId="0" applyFont="1" applyFill="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xf>
    <xf numFmtId="0" fontId="16" fillId="3" borderId="2" xfId="0" applyFont="1" applyFill="1" applyBorder="1" applyAlignment="1">
      <alignment horizontal="center" vertical="center" wrapText="1"/>
    </xf>
    <xf numFmtId="166" fontId="11" fillId="3" borderId="2" xfId="2" applyNumberFormat="1" applyFont="1" applyFill="1" applyBorder="1" applyAlignment="1">
      <alignment horizontal="center" vertical="center"/>
    </xf>
    <xf numFmtId="0" fontId="20" fillId="0" borderId="0" xfId="0" applyFont="1" applyFill="1" applyBorder="1" applyAlignment="1">
      <alignment horizontal="center" vertical="center"/>
    </xf>
    <xf numFmtId="169" fontId="20" fillId="0" borderId="0" xfId="0" applyNumberFormat="1" applyFont="1" applyFill="1" applyBorder="1" applyAlignment="1">
      <alignment horizontal="center" vertical="center"/>
    </xf>
    <xf numFmtId="166" fontId="20" fillId="0" borderId="0" xfId="2" applyNumberFormat="1" applyFont="1" applyFill="1" applyBorder="1" applyAlignment="1">
      <alignment horizontal="center" vertical="center"/>
    </xf>
    <xf numFmtId="0" fontId="17" fillId="0" borderId="0" xfId="0" applyFont="1" applyFill="1" applyBorder="1" applyAlignment="1">
      <alignment horizontal="center" vertical="center"/>
    </xf>
    <xf numFmtId="168" fontId="0" fillId="0" borderId="0" xfId="0" applyNumberFormat="1" applyFont="1" applyAlignment="1">
      <alignment horizontal="center" vertical="center"/>
    </xf>
    <xf numFmtId="166" fontId="0" fillId="5" borderId="7" xfId="2" applyNumberFormat="1" applyFont="1" applyFill="1" applyBorder="1" applyAlignment="1">
      <alignment horizontal="center"/>
    </xf>
    <xf numFmtId="168" fontId="11" fillId="3" borderId="2" xfId="0" applyNumberFormat="1" applyFont="1" applyFill="1" applyBorder="1" applyAlignment="1">
      <alignment horizontal="center" vertical="center"/>
    </xf>
    <xf numFmtId="168" fontId="0" fillId="0" borderId="0" xfId="0" applyNumberFormat="1" applyFont="1" applyFill="1" applyAlignment="1">
      <alignment horizontal="left"/>
    </xf>
    <xf numFmtId="0" fontId="11" fillId="3" borderId="31" xfId="0" applyFont="1" applyFill="1" applyBorder="1" applyAlignment="1">
      <alignment horizontal="left" vertical="center"/>
    </xf>
    <xf numFmtId="0" fontId="11" fillId="3" borderId="33" xfId="0" applyFont="1" applyFill="1" applyBorder="1" applyAlignment="1">
      <alignment horizontal="center" vertical="center"/>
    </xf>
    <xf numFmtId="0" fontId="11" fillId="3" borderId="48" xfId="0" applyFont="1" applyFill="1" applyBorder="1" applyAlignment="1">
      <alignment horizontal="center" vertical="center"/>
    </xf>
    <xf numFmtId="0" fontId="3" fillId="0" borderId="0" xfId="0" applyFont="1" applyAlignment="1">
      <alignment horizontal="center" vertical="center"/>
    </xf>
    <xf numFmtId="168" fontId="0" fillId="0" borderId="0" xfId="0" applyNumberFormat="1" applyAlignment="1">
      <alignment horizontal="left" vertical="center"/>
    </xf>
    <xf numFmtId="0" fontId="11" fillId="0" borderId="19" xfId="0" applyFont="1" applyFill="1" applyBorder="1" applyAlignment="1">
      <alignment horizontal="left" vertical="center"/>
    </xf>
    <xf numFmtId="0" fontId="12" fillId="0" borderId="19" xfId="0" applyFont="1" applyFill="1" applyBorder="1" applyAlignment="1">
      <alignment horizontal="center" vertical="center"/>
    </xf>
    <xf numFmtId="0" fontId="11" fillId="0" borderId="19" xfId="0" applyFont="1" applyFill="1" applyBorder="1" applyAlignment="1">
      <alignment horizontal="center" vertical="center"/>
    </xf>
    <xf numFmtId="0" fontId="3" fillId="0" borderId="53" xfId="0" applyFont="1" applyFill="1" applyBorder="1" applyAlignment="1">
      <alignment horizontal="center" vertical="center"/>
    </xf>
    <xf numFmtId="0" fontId="0" fillId="0" borderId="0" xfId="0" applyFill="1" applyBorder="1" applyAlignment="1">
      <alignment horizontal="center" vertical="center"/>
    </xf>
    <xf numFmtId="168" fontId="0" fillId="0" borderId="48" xfId="0" applyNumberFormat="1" applyBorder="1" applyAlignment="1">
      <alignment horizontal="center" vertical="center"/>
    </xf>
    <xf numFmtId="0" fontId="0" fillId="0" borderId="44" xfId="0" applyFill="1" applyBorder="1" applyAlignment="1">
      <alignment horizontal="center" vertical="center"/>
    </xf>
    <xf numFmtId="0" fontId="0" fillId="0" borderId="35" xfId="0" applyFill="1" applyBorder="1" applyAlignment="1">
      <alignment horizontal="left" vertical="center"/>
    </xf>
    <xf numFmtId="169" fontId="0" fillId="0" borderId="50" xfId="0" applyNumberFormat="1" applyFill="1" applyBorder="1" applyAlignment="1">
      <alignment horizontal="center" vertical="center"/>
    </xf>
    <xf numFmtId="169" fontId="3" fillId="2" borderId="56" xfId="0" applyNumberFormat="1" applyFont="1" applyFill="1" applyBorder="1" applyAlignment="1">
      <alignment horizontal="center" vertical="center"/>
    </xf>
    <xf numFmtId="168" fontId="0" fillId="0" borderId="46" xfId="0" applyNumberFormat="1" applyBorder="1" applyAlignment="1">
      <alignment horizontal="center" vertical="center"/>
    </xf>
    <xf numFmtId="0" fontId="0" fillId="5" borderId="22" xfId="0" applyFill="1" applyBorder="1" applyAlignment="1">
      <alignment horizontal="center" vertical="center"/>
    </xf>
    <xf numFmtId="0" fontId="0" fillId="5" borderId="36" xfId="0" applyFill="1" applyBorder="1" applyAlignment="1">
      <alignment horizontal="left" vertical="center"/>
    </xf>
    <xf numFmtId="169" fontId="0" fillId="5" borderId="4" xfId="0" applyNumberFormat="1" applyFill="1" applyBorder="1" applyAlignment="1">
      <alignment horizontal="center" vertical="center"/>
    </xf>
    <xf numFmtId="169" fontId="0" fillId="5" borderId="5" xfId="0" applyNumberFormat="1" applyFill="1" applyBorder="1" applyAlignment="1">
      <alignment horizontal="center" vertical="center"/>
    </xf>
    <xf numFmtId="169" fontId="0" fillId="5" borderId="13" xfId="0" applyNumberFormat="1" applyFill="1" applyBorder="1" applyAlignment="1">
      <alignment horizontal="center" vertical="center"/>
    </xf>
    <xf numFmtId="169" fontId="3" fillId="2" borderId="57" xfId="0" applyNumberFormat="1" applyFont="1" applyFill="1" applyBorder="1" applyAlignment="1">
      <alignment horizontal="center" vertical="center"/>
    </xf>
    <xf numFmtId="0" fontId="0" fillId="0" borderId="22" xfId="0" applyFill="1" applyBorder="1" applyAlignment="1">
      <alignment horizontal="center" vertical="center"/>
    </xf>
    <xf numFmtId="0" fontId="0" fillId="0" borderId="36" xfId="0" applyFill="1" applyBorder="1" applyAlignment="1">
      <alignment horizontal="left" vertical="center"/>
    </xf>
    <xf numFmtId="169" fontId="0" fillId="0" borderId="4" xfId="0" applyNumberFormat="1" applyFill="1" applyBorder="1" applyAlignment="1">
      <alignment horizontal="center" vertical="center"/>
    </xf>
    <xf numFmtId="169" fontId="0" fillId="0" borderId="5" xfId="0" applyNumberFormat="1" applyFill="1" applyBorder="1" applyAlignment="1">
      <alignment horizontal="center" vertical="center"/>
    </xf>
    <xf numFmtId="169" fontId="0" fillId="0" borderId="13" xfId="0" applyNumberFormat="1" applyFill="1" applyBorder="1" applyAlignment="1">
      <alignment horizontal="center" vertical="center"/>
    </xf>
    <xf numFmtId="0" fontId="0" fillId="0" borderId="24" xfId="0" applyFill="1" applyBorder="1" applyAlignment="1">
      <alignment horizontal="center" vertical="center"/>
    </xf>
    <xf numFmtId="166" fontId="0" fillId="0" borderId="7" xfId="2" applyNumberFormat="1" applyFont="1" applyFill="1" applyBorder="1" applyAlignment="1">
      <alignment horizontal="center" vertical="center"/>
    </xf>
    <xf numFmtId="166" fontId="0" fillId="0" borderId="8" xfId="2" applyNumberFormat="1" applyFont="1" applyFill="1" applyBorder="1" applyAlignment="1">
      <alignment horizontal="center" vertical="center"/>
    </xf>
    <xf numFmtId="0" fontId="0" fillId="5" borderId="49" xfId="0" applyFill="1" applyBorder="1" applyAlignment="1">
      <alignment horizontal="center" vertical="center"/>
    </xf>
    <xf numFmtId="0" fontId="0" fillId="5" borderId="46" xfId="0" applyFill="1" applyBorder="1" applyAlignment="1">
      <alignment horizontal="left" vertical="center"/>
    </xf>
    <xf numFmtId="166" fontId="0" fillId="2" borderId="49" xfId="2" applyNumberFormat="1" applyFont="1" applyFill="1" applyBorder="1" applyAlignment="1">
      <alignment horizontal="center" vertical="center"/>
    </xf>
    <xf numFmtId="166" fontId="0" fillId="2" borderId="0" xfId="2" applyNumberFormat="1" applyFont="1" applyFill="1" applyBorder="1" applyAlignment="1">
      <alignment horizontal="center" vertical="center"/>
    </xf>
    <xf numFmtId="0" fontId="0" fillId="2" borderId="46" xfId="0" applyFill="1" applyBorder="1" applyAlignment="1">
      <alignment horizontal="center" vertical="center"/>
    </xf>
    <xf numFmtId="0" fontId="0" fillId="0" borderId="59" xfId="0" applyFill="1" applyBorder="1" applyAlignment="1">
      <alignment horizontal="center" vertical="center"/>
    </xf>
    <xf numFmtId="0" fontId="0" fillId="0" borderId="39" xfId="0" applyFill="1" applyBorder="1" applyAlignment="1">
      <alignment horizontal="left" vertical="center"/>
    </xf>
    <xf numFmtId="0" fontId="0" fillId="5" borderId="59" xfId="0" applyFill="1" applyBorder="1" applyAlignment="1">
      <alignment horizontal="center" vertical="center"/>
    </xf>
    <xf numFmtId="0" fontId="0" fillId="5" borderId="39" xfId="0" applyFill="1" applyBorder="1" applyAlignment="1">
      <alignment horizontal="left" vertical="center"/>
    </xf>
    <xf numFmtId="166" fontId="0" fillId="2" borderId="54" xfId="2" applyNumberFormat="1" applyFont="1" applyFill="1" applyBorder="1" applyAlignment="1">
      <alignment horizontal="center" vertical="center"/>
    </xf>
    <xf numFmtId="166" fontId="0" fillId="2" borderId="1" xfId="2" applyNumberFormat="1" applyFont="1" applyFill="1" applyBorder="1" applyAlignment="1">
      <alignment horizontal="center" vertical="center"/>
    </xf>
    <xf numFmtId="0" fontId="0" fillId="2" borderId="45" xfId="0" applyFill="1" applyBorder="1" applyAlignment="1">
      <alignment horizontal="center" vertical="center"/>
    </xf>
    <xf numFmtId="169" fontId="0" fillId="5" borderId="6" xfId="0" applyNumberForma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left"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166" fontId="3" fillId="0" borderId="55" xfId="2" applyNumberFormat="1" applyFont="1" applyBorder="1" applyAlignment="1">
      <alignment horizontal="center" vertical="center"/>
    </xf>
    <xf numFmtId="0" fontId="5" fillId="0" borderId="0" xfId="0" applyFont="1" applyAlignment="1">
      <alignment vertical="center"/>
    </xf>
    <xf numFmtId="0" fontId="20" fillId="7" borderId="2" xfId="0" applyFont="1" applyFill="1" applyBorder="1" applyAlignment="1">
      <alignment horizontal="center" vertical="center" wrapText="1"/>
    </xf>
    <xf numFmtId="0" fontId="20" fillId="7" borderId="33" xfId="0" applyFont="1" applyFill="1" applyBorder="1" applyAlignment="1">
      <alignment horizontal="center" vertical="center" wrapText="1"/>
    </xf>
    <xf numFmtId="0" fontId="20" fillId="7" borderId="4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xf numFmtId="165" fontId="4" fillId="0" borderId="52" xfId="0" applyNumberFormat="1" applyFont="1" applyFill="1" applyBorder="1" applyAlignment="1">
      <alignment horizontal="center" vertical="center"/>
    </xf>
    <xf numFmtId="0" fontId="4" fillId="0" borderId="0" xfId="0" applyFont="1" applyFill="1" applyAlignment="1">
      <alignment vertical="center"/>
    </xf>
    <xf numFmtId="173" fontId="0" fillId="0" borderId="14" xfId="0" applyNumberFormat="1" applyFont="1" applyFill="1" applyBorder="1" applyAlignment="1">
      <alignment horizontal="center"/>
    </xf>
    <xf numFmtId="173" fontId="0" fillId="5" borderId="13" xfId="0" applyNumberFormat="1" applyFont="1" applyFill="1" applyBorder="1" applyAlignment="1">
      <alignment horizontal="center"/>
    </xf>
    <xf numFmtId="173" fontId="0" fillId="5" borderId="15" xfId="0" applyNumberFormat="1" applyFont="1" applyFill="1" applyBorder="1" applyAlignment="1">
      <alignment horizontal="center"/>
    </xf>
    <xf numFmtId="0" fontId="0" fillId="0" borderId="0" xfId="0" applyBorder="1" applyAlignment="1">
      <alignment horizontal="center" vertical="center"/>
    </xf>
    <xf numFmtId="0" fontId="9" fillId="0" borderId="0" xfId="0" applyFont="1" applyFill="1" applyBorder="1" applyAlignment="1">
      <alignment horizontal="left"/>
    </xf>
    <xf numFmtId="173" fontId="0" fillId="0" borderId="0" xfId="0" applyNumberFormat="1" applyFont="1" applyFill="1" applyBorder="1" applyAlignment="1">
      <alignment horizontal="center"/>
    </xf>
    <xf numFmtId="14" fontId="0" fillId="0" borderId="0" xfId="0" applyNumberFormat="1" applyFill="1" applyBorder="1" applyAlignment="1">
      <alignment horizontal="center"/>
    </xf>
    <xf numFmtId="2" fontId="0" fillId="0" borderId="0" xfId="0" applyNumberFormat="1"/>
    <xf numFmtId="0" fontId="17" fillId="0" borderId="0" xfId="0" applyFont="1" applyAlignment="1">
      <alignment horizontal="left"/>
    </xf>
    <xf numFmtId="168" fontId="17" fillId="0" borderId="0" xfId="0" applyNumberFormat="1" applyFont="1" applyAlignment="1">
      <alignment horizontal="center"/>
    </xf>
    <xf numFmtId="0" fontId="0" fillId="0" borderId="0" xfId="0" applyFill="1"/>
    <xf numFmtId="0" fontId="17" fillId="0" borderId="0" xfId="0" applyFont="1" applyFill="1" applyBorder="1" applyAlignment="1">
      <alignment horizontal="left"/>
    </xf>
    <xf numFmtId="0" fontId="17" fillId="0" borderId="0" xfId="0" applyFont="1" applyFill="1" applyBorder="1"/>
    <xf numFmtId="0" fontId="0" fillId="0" borderId="0" xfId="0" applyFill="1" applyBorder="1"/>
    <xf numFmtId="0" fontId="18" fillId="3" borderId="32" xfId="0" applyFont="1" applyFill="1" applyBorder="1" applyAlignment="1">
      <alignment horizontal="left" vertical="center"/>
    </xf>
    <xf numFmtId="169" fontId="27" fillId="0" borderId="4" xfId="0" applyNumberFormat="1" applyFont="1" applyFill="1" applyBorder="1" applyAlignment="1">
      <alignment horizontal="center" vertical="center"/>
    </xf>
    <xf numFmtId="169" fontId="27" fillId="0" borderId="5" xfId="0" applyNumberFormat="1" applyFont="1" applyFill="1" applyBorder="1" applyAlignment="1">
      <alignment horizontal="center" vertical="center"/>
    </xf>
    <xf numFmtId="169" fontId="27" fillId="0" borderId="6" xfId="0" applyNumberFormat="1" applyFont="1" applyFill="1" applyBorder="1" applyAlignment="1">
      <alignment horizontal="center" vertical="center"/>
    </xf>
    <xf numFmtId="168" fontId="17" fillId="0" borderId="22" xfId="0" applyNumberFormat="1" applyFont="1" applyBorder="1" applyAlignment="1">
      <alignment horizontal="center"/>
    </xf>
    <xf numFmtId="168" fontId="17" fillId="0" borderId="23" xfId="0" applyNumberFormat="1" applyFont="1" applyBorder="1" applyAlignment="1">
      <alignment horizontal="center"/>
    </xf>
    <xf numFmtId="1" fontId="27" fillId="0" borderId="36" xfId="0" applyNumberFormat="1" applyFont="1" applyFill="1" applyBorder="1" applyAlignment="1">
      <alignment horizontal="left" vertical="center"/>
    </xf>
    <xf numFmtId="0" fontId="0" fillId="0" borderId="22" xfId="0" applyBorder="1"/>
    <xf numFmtId="168" fontId="0" fillId="0" borderId="24" xfId="0" applyNumberFormat="1" applyBorder="1"/>
    <xf numFmtId="168" fontId="17" fillId="0" borderId="44" xfId="0" applyNumberFormat="1" applyFont="1" applyBorder="1" applyAlignment="1">
      <alignment horizontal="center"/>
    </xf>
    <xf numFmtId="0" fontId="0" fillId="0" borderId="23" xfId="0" applyFill="1" applyBorder="1" applyAlignment="1">
      <alignment horizontal="center" vertical="top"/>
    </xf>
    <xf numFmtId="168" fontId="17" fillId="0" borderId="24" xfId="0" applyNumberFormat="1" applyFont="1" applyBorder="1" applyAlignment="1">
      <alignment horizontal="center"/>
    </xf>
    <xf numFmtId="0" fontId="16" fillId="3" borderId="33" xfId="0" applyFont="1" applyFill="1" applyBorder="1" applyAlignment="1">
      <alignment horizontal="center" vertical="center" wrapText="1"/>
    </xf>
    <xf numFmtId="169" fontId="27" fillId="0" borderId="10" xfId="0" applyNumberFormat="1" applyFont="1" applyFill="1" applyBorder="1" applyAlignment="1">
      <alignment horizontal="center" vertical="center" wrapText="1"/>
    </xf>
    <xf numFmtId="169" fontId="27" fillId="0" borderId="11" xfId="0" applyNumberFormat="1" applyFont="1" applyFill="1" applyBorder="1" applyAlignment="1">
      <alignment horizontal="center" vertical="center" wrapText="1"/>
    </xf>
    <xf numFmtId="169" fontId="27" fillId="0" borderId="12" xfId="0" applyNumberFormat="1" applyFont="1" applyFill="1" applyBorder="1" applyAlignment="1">
      <alignment horizontal="center" vertical="center" wrapText="1"/>
    </xf>
    <xf numFmtId="169" fontId="0" fillId="0" borderId="6" xfId="0" applyNumberFormat="1" applyFill="1" applyBorder="1" applyAlignment="1">
      <alignment horizontal="center" vertical="center"/>
    </xf>
    <xf numFmtId="169" fontId="17" fillId="0" borderId="10" xfId="0" applyNumberFormat="1" applyFont="1" applyBorder="1" applyAlignment="1">
      <alignment horizontal="center" vertical="center"/>
    </xf>
    <xf numFmtId="169" fontId="17" fillId="0" borderId="11" xfId="0" applyNumberFormat="1" applyFont="1" applyBorder="1" applyAlignment="1">
      <alignment horizontal="center" vertical="center"/>
    </xf>
    <xf numFmtId="169" fontId="17" fillId="0" borderId="12" xfId="0" applyNumberFormat="1" applyFont="1" applyBorder="1" applyAlignment="1">
      <alignment horizontal="center" vertical="center"/>
    </xf>
    <xf numFmtId="169" fontId="17" fillId="0" borderId="4" xfId="0" applyNumberFormat="1" applyFont="1" applyFill="1" applyBorder="1" applyAlignment="1">
      <alignment horizontal="center" vertical="center"/>
    </xf>
    <xf numFmtId="169" fontId="17" fillId="0" borderId="5" xfId="0" applyNumberFormat="1" applyFont="1" applyFill="1" applyBorder="1" applyAlignment="1">
      <alignment horizontal="center" vertical="center"/>
    </xf>
    <xf numFmtId="169" fontId="17" fillId="0" borderId="6" xfId="0" applyNumberFormat="1" applyFont="1" applyFill="1" applyBorder="1" applyAlignment="1">
      <alignment horizontal="center" vertical="center"/>
    </xf>
    <xf numFmtId="169" fontId="0" fillId="0" borderId="4" xfId="0" applyNumberFormat="1" applyBorder="1" applyAlignment="1">
      <alignment horizontal="center" vertical="center"/>
    </xf>
    <xf numFmtId="169" fontId="0" fillId="0" borderId="5" xfId="0" applyNumberFormat="1" applyBorder="1" applyAlignment="1">
      <alignment horizontal="center" vertical="center"/>
    </xf>
    <xf numFmtId="169" fontId="0" fillId="0" borderId="6" xfId="0" applyNumberFormat="1" applyBorder="1" applyAlignment="1">
      <alignment horizontal="center" vertical="center"/>
    </xf>
    <xf numFmtId="169" fontId="0" fillId="0" borderId="7" xfId="0" applyNumberFormat="1" applyBorder="1" applyAlignment="1">
      <alignment horizontal="center" vertical="center"/>
    </xf>
    <xf numFmtId="1" fontId="27" fillId="0" borderId="36" xfId="0" applyNumberFormat="1" applyFont="1" applyFill="1" applyBorder="1" applyAlignment="1">
      <alignment horizontal="left" vertical="top"/>
    </xf>
    <xf numFmtId="0" fontId="17" fillId="0" borderId="36" xfId="0" applyFont="1" applyFill="1" applyBorder="1" applyAlignment="1">
      <alignment horizontal="left" vertical="top" wrapText="1"/>
    </xf>
    <xf numFmtId="0" fontId="0" fillId="0" borderId="36" xfId="0" applyFill="1" applyBorder="1" applyAlignment="1">
      <alignment vertical="top" wrapText="1"/>
    </xf>
    <xf numFmtId="0" fontId="0" fillId="0" borderId="36" xfId="0" applyBorder="1" applyAlignment="1">
      <alignment vertical="top" wrapText="1"/>
    </xf>
    <xf numFmtId="0" fontId="0" fillId="0" borderId="36" xfId="0" applyBorder="1" applyAlignment="1">
      <alignment vertical="top"/>
    </xf>
    <xf numFmtId="169" fontId="0" fillId="0" borderId="51" xfId="0" applyNumberFormat="1" applyFill="1" applyBorder="1" applyAlignment="1">
      <alignment horizontal="center" vertical="center"/>
    </xf>
    <xf numFmtId="169" fontId="0" fillId="0" borderId="52" xfId="0" applyNumberFormat="1" applyFill="1" applyBorder="1" applyAlignment="1">
      <alignment horizontal="center" vertical="center"/>
    </xf>
    <xf numFmtId="169" fontId="0" fillId="0" borderId="3" xfId="0" applyNumberFormat="1" applyFill="1" applyBorder="1" applyAlignment="1">
      <alignment horizontal="center" vertical="center"/>
    </xf>
    <xf numFmtId="166" fontId="0" fillId="0" borderId="9" xfId="2" applyNumberFormat="1" applyFont="1" applyFill="1" applyBorder="1" applyAlignment="1">
      <alignment horizontal="center" vertical="center"/>
    </xf>
    <xf numFmtId="0" fontId="5" fillId="0" borderId="0" xfId="0" applyFont="1" applyAlignment="1">
      <alignment horizontal="right" vertical="center"/>
    </xf>
    <xf numFmtId="0" fontId="26" fillId="0" borderId="0" xfId="0" applyFont="1" applyAlignment="1">
      <alignment horizontal="right" vertical="center"/>
    </xf>
    <xf numFmtId="0" fontId="5" fillId="0" borderId="0" xfId="0" applyFont="1" applyAlignment="1">
      <alignment horizontal="left" vertical="center"/>
    </xf>
    <xf numFmtId="169" fontId="5" fillId="0" borderId="0" xfId="0" applyNumberFormat="1" applyFont="1" applyAlignment="1">
      <alignment wrapText="1"/>
    </xf>
    <xf numFmtId="0" fontId="14" fillId="0" borderId="0" xfId="0" applyFont="1" applyFill="1" applyBorder="1" applyAlignment="1">
      <alignment horizontal="left" vertical="center"/>
    </xf>
    <xf numFmtId="167" fontId="5" fillId="0" borderId="44" xfId="0" applyNumberFormat="1" applyFont="1" applyFill="1" applyBorder="1" applyAlignment="1">
      <alignment horizontal="center" vertical="center"/>
    </xf>
    <xf numFmtId="167" fontId="5" fillId="5" borderId="44" xfId="0" applyNumberFormat="1" applyFont="1" applyFill="1" applyBorder="1" applyAlignment="1">
      <alignment horizontal="center" vertical="center"/>
    </xf>
    <xf numFmtId="167" fontId="5" fillId="0" borderId="24" xfId="0" applyNumberFormat="1" applyFont="1" applyFill="1" applyBorder="1" applyAlignment="1">
      <alignment horizontal="center" vertical="center"/>
    </xf>
    <xf numFmtId="169" fontId="5" fillId="5" borderId="10" xfId="0" applyNumberFormat="1" applyFont="1" applyFill="1" applyBorder="1" applyAlignment="1">
      <alignment horizontal="center" vertical="center"/>
    </xf>
    <xf numFmtId="169" fontId="5" fillId="0" borderId="10" xfId="0" applyNumberFormat="1" applyFont="1" applyFill="1" applyBorder="1" applyAlignment="1">
      <alignment horizontal="center" vertical="center"/>
    </xf>
    <xf numFmtId="169" fontId="5" fillId="0" borderId="7" xfId="0" applyNumberFormat="1" applyFont="1" applyFill="1" applyBorder="1" applyAlignment="1">
      <alignment horizontal="center" vertical="center"/>
    </xf>
    <xf numFmtId="170" fontId="0" fillId="2" borderId="3" xfId="0" quotePrefix="1" applyNumberFormat="1" applyFill="1" applyBorder="1" applyAlignment="1">
      <alignment horizontal="center" wrapText="1"/>
    </xf>
    <xf numFmtId="170" fontId="0" fillId="2" borderId="6" xfId="0" quotePrefix="1" applyNumberFormat="1" applyFill="1" applyBorder="1" applyAlignment="1">
      <alignment horizontal="center" wrapText="1"/>
    </xf>
    <xf numFmtId="0" fontId="0" fillId="0" borderId="0" xfId="0" applyFont="1" applyBorder="1" applyAlignment="1">
      <alignment vertical="top"/>
    </xf>
    <xf numFmtId="0" fontId="28" fillId="0" borderId="0" xfId="0" applyFont="1"/>
    <xf numFmtId="0" fontId="11" fillId="3" borderId="2" xfId="0" applyFont="1" applyFill="1" applyBorder="1" applyAlignment="1">
      <alignment horizontal="center" vertical="center"/>
    </xf>
    <xf numFmtId="0" fontId="11" fillId="3" borderId="2" xfId="0" applyFont="1" applyFill="1" applyBorder="1" applyAlignment="1">
      <alignment horizontal="center" vertical="center" wrapText="1"/>
    </xf>
    <xf numFmtId="0" fontId="0" fillId="3" borderId="33" xfId="0" applyFill="1" applyBorder="1"/>
    <xf numFmtId="0" fontId="0" fillId="5" borderId="24" xfId="0" applyFill="1" applyBorder="1" applyAlignment="1">
      <alignment horizontal="center" vertical="center"/>
    </xf>
    <xf numFmtId="0" fontId="0" fillId="0" borderId="0" xfId="0" applyBorder="1" applyAlignment="1">
      <alignment vertical="top"/>
    </xf>
    <xf numFmtId="168" fontId="0" fillId="0" borderId="0" xfId="0" applyNumberFormat="1" applyAlignment="1">
      <alignment horizontal="right" vertical="center"/>
    </xf>
    <xf numFmtId="0" fontId="0" fillId="0" borderId="0" xfId="0" applyAlignment="1">
      <alignment vertical="center"/>
    </xf>
    <xf numFmtId="0" fontId="0" fillId="0" borderId="0" xfId="0" quotePrefix="1" applyAlignment="1">
      <alignment vertical="center"/>
    </xf>
    <xf numFmtId="0" fontId="5" fillId="0" borderId="0" xfId="6" applyFont="1"/>
    <xf numFmtId="0" fontId="5" fillId="0" borderId="0" xfId="6" applyFont="1" applyAlignment="1">
      <alignment wrapText="1"/>
    </xf>
    <xf numFmtId="0" fontId="5" fillId="0" borderId="0" xfId="6" applyFont="1" applyProtection="1"/>
    <xf numFmtId="0" fontId="5" fillId="0" borderId="0" xfId="6" applyFont="1" applyAlignment="1">
      <alignment horizontal="center"/>
    </xf>
    <xf numFmtId="0" fontId="5" fillId="0" borderId="0" xfId="6" applyFont="1" applyBorder="1" applyProtection="1"/>
    <xf numFmtId="0" fontId="5" fillId="0" borderId="0" xfId="6" applyFont="1" applyBorder="1"/>
    <xf numFmtId="0" fontId="23" fillId="0" borderId="0" xfId="21" applyFont="1" applyFill="1" applyBorder="1" applyAlignment="1" applyProtection="1">
      <alignment vertical="top"/>
    </xf>
    <xf numFmtId="0" fontId="5" fillId="0" borderId="0" xfId="6" applyFont="1" applyAlignment="1" applyProtection="1">
      <alignment vertical="top"/>
    </xf>
    <xf numFmtId="0" fontId="34" fillId="0" borderId="0" xfId="44" applyFont="1" applyAlignment="1">
      <alignment vertical="center"/>
    </xf>
    <xf numFmtId="0" fontId="5" fillId="0" borderId="0" xfId="44" applyFont="1"/>
    <xf numFmtId="0" fontId="5" fillId="0" borderId="0" xfId="44" applyFont="1" applyBorder="1"/>
    <xf numFmtId="1" fontId="27" fillId="0" borderId="55" xfId="45" applyNumberFormat="1" applyFont="1" applyFill="1" applyBorder="1" applyAlignment="1">
      <alignment horizontal="center"/>
    </xf>
    <xf numFmtId="166" fontId="27" fillId="0" borderId="55" xfId="46" applyNumberFormat="1" applyFont="1" applyFill="1" applyBorder="1" applyAlignment="1">
      <alignment horizontal="center"/>
    </xf>
    <xf numFmtId="1" fontId="27" fillId="0" borderId="2" xfId="45" applyNumberFormat="1" applyFont="1" applyFill="1" applyBorder="1" applyAlignment="1">
      <alignment horizontal="center"/>
    </xf>
    <xf numFmtId="166" fontId="27" fillId="0" borderId="2" xfId="46" applyNumberFormat="1" applyFont="1" applyFill="1" applyBorder="1" applyAlignment="1">
      <alignment horizontal="center"/>
    </xf>
    <xf numFmtId="1" fontId="27" fillId="0" borderId="50" xfId="45" applyNumberFormat="1" applyFont="1" applyFill="1" applyBorder="1" applyAlignment="1">
      <alignment horizontal="center"/>
    </xf>
    <xf numFmtId="166" fontId="27" fillId="0" borderId="50" xfId="46" applyNumberFormat="1" applyFont="1" applyFill="1" applyBorder="1" applyAlignment="1">
      <alignment horizontal="center"/>
    </xf>
    <xf numFmtId="1" fontId="27" fillId="0" borderId="13" xfId="45" applyNumberFormat="1" applyFont="1" applyFill="1" applyBorder="1" applyAlignment="1">
      <alignment horizontal="center"/>
    </xf>
    <xf numFmtId="166" fontId="27" fillId="0" borderId="13" xfId="46" applyNumberFormat="1" applyFont="1" applyFill="1" applyBorder="1" applyAlignment="1">
      <alignment horizontal="center"/>
    </xf>
    <xf numFmtId="1" fontId="27" fillId="0" borderId="15" xfId="45" applyNumberFormat="1" applyFont="1" applyFill="1" applyBorder="1" applyAlignment="1">
      <alignment horizontal="center"/>
    </xf>
    <xf numFmtId="166" fontId="27" fillId="0" borderId="15" xfId="46" applyNumberFormat="1" applyFont="1" applyFill="1" applyBorder="1" applyAlignment="1">
      <alignment horizontal="center"/>
    </xf>
    <xf numFmtId="0" fontId="36" fillId="0" borderId="55" xfId="45" applyNumberFormat="1" applyFont="1" applyFill="1" applyBorder="1" applyAlignment="1">
      <alignment horizontal="center"/>
    </xf>
    <xf numFmtId="166" fontId="36" fillId="0" borderId="55" xfId="48" applyNumberFormat="1" applyFont="1" applyFill="1" applyBorder="1" applyAlignment="1">
      <alignment horizontal="center"/>
    </xf>
    <xf numFmtId="0" fontId="36" fillId="0" borderId="2" xfId="45" applyNumberFormat="1" applyFont="1" applyFill="1" applyBorder="1" applyAlignment="1">
      <alignment horizontal="center"/>
    </xf>
    <xf numFmtId="166" fontId="36" fillId="0" borderId="2" xfId="48" applyNumberFormat="1" applyFont="1" applyFill="1" applyBorder="1" applyAlignment="1">
      <alignment horizontal="center"/>
    </xf>
    <xf numFmtId="1" fontId="36" fillId="0" borderId="2" xfId="45" applyNumberFormat="1" applyFont="1" applyFill="1" applyBorder="1" applyAlignment="1">
      <alignment horizontal="center"/>
    </xf>
    <xf numFmtId="0" fontId="36" fillId="0" borderId="50" xfId="45" applyNumberFormat="1" applyFont="1" applyFill="1" applyBorder="1" applyAlignment="1">
      <alignment horizontal="center"/>
    </xf>
    <xf numFmtId="166" fontId="36" fillId="0" borderId="50" xfId="48" applyNumberFormat="1" applyFont="1" applyFill="1" applyBorder="1" applyAlignment="1">
      <alignment horizontal="center"/>
    </xf>
    <xf numFmtId="0" fontId="36" fillId="0" borderId="13" xfId="45" applyNumberFormat="1" applyFont="1" applyFill="1" applyBorder="1" applyAlignment="1">
      <alignment horizontal="center"/>
    </xf>
    <xf numFmtId="166" fontId="36" fillId="0" borderId="13" xfId="48" applyNumberFormat="1" applyFont="1" applyFill="1" applyBorder="1" applyAlignment="1">
      <alignment horizontal="center"/>
    </xf>
    <xf numFmtId="0" fontId="36" fillId="0" borderId="15" xfId="45" applyNumberFormat="1" applyFont="1" applyFill="1" applyBorder="1" applyAlignment="1">
      <alignment horizontal="center"/>
    </xf>
    <xf numFmtId="166" fontId="36" fillId="0" borderId="15" xfId="48" applyNumberFormat="1" applyFont="1" applyFill="1" applyBorder="1" applyAlignment="1">
      <alignment horizontal="center"/>
    </xf>
    <xf numFmtId="1" fontId="36" fillId="0" borderId="50" xfId="45" applyNumberFormat="1" applyFont="1" applyFill="1" applyBorder="1" applyAlignment="1">
      <alignment horizontal="center"/>
    </xf>
    <xf numFmtId="1" fontId="36" fillId="0" borderId="13" xfId="45" applyNumberFormat="1" applyFont="1" applyFill="1" applyBorder="1" applyAlignment="1">
      <alignment horizontal="center"/>
    </xf>
    <xf numFmtId="1" fontId="36" fillId="0" borderId="15" xfId="45" applyNumberFormat="1" applyFont="1" applyFill="1" applyBorder="1" applyAlignment="1">
      <alignment horizontal="center"/>
    </xf>
    <xf numFmtId="10" fontId="5" fillId="0" borderId="19" xfId="45" applyNumberFormat="1" applyFont="1" applyFill="1" applyBorder="1" applyAlignment="1">
      <alignment horizontal="center"/>
    </xf>
    <xf numFmtId="0" fontId="5" fillId="0" borderId="0" xfId="44" applyFont="1" applyFill="1" applyBorder="1" applyAlignment="1">
      <alignment horizontal="center"/>
    </xf>
    <xf numFmtId="0" fontId="5" fillId="0" borderId="0" xfId="45" applyNumberFormat="1" applyFont="1" applyAlignment="1">
      <alignment horizontal="center"/>
    </xf>
    <xf numFmtId="1" fontId="27" fillId="0" borderId="45" xfId="45" applyNumberFormat="1" applyFont="1" applyFill="1" applyBorder="1" applyAlignment="1">
      <alignment horizontal="center"/>
    </xf>
    <xf numFmtId="1" fontId="27" fillId="0" borderId="33" xfId="45" applyNumberFormat="1" applyFont="1" applyFill="1" applyBorder="1" applyAlignment="1">
      <alignment horizontal="center"/>
    </xf>
    <xf numFmtId="1" fontId="27" fillId="0" borderId="58" xfId="45" applyNumberFormat="1" applyFont="1" applyFill="1" applyBorder="1" applyAlignment="1">
      <alignment horizontal="center"/>
    </xf>
    <xf numFmtId="1" fontId="27" fillId="0" borderId="36" xfId="45" applyNumberFormat="1" applyFont="1" applyFill="1" applyBorder="1" applyAlignment="1">
      <alignment horizontal="center"/>
    </xf>
    <xf numFmtId="1" fontId="27" fillId="0" borderId="37" xfId="45" applyNumberFormat="1" applyFont="1" applyFill="1" applyBorder="1" applyAlignment="1">
      <alignment horizontal="center"/>
    </xf>
    <xf numFmtId="0" fontId="36" fillId="0" borderId="45" xfId="45" applyNumberFormat="1" applyFont="1" applyFill="1" applyBorder="1" applyAlignment="1">
      <alignment horizontal="center"/>
    </xf>
    <xf numFmtId="0" fontId="36" fillId="0" borderId="33" xfId="45" applyNumberFormat="1" applyFont="1" applyFill="1" applyBorder="1" applyAlignment="1">
      <alignment horizontal="center"/>
    </xf>
    <xf numFmtId="1" fontId="36" fillId="0" borderId="33" xfId="45" applyNumberFormat="1" applyFont="1" applyFill="1" applyBorder="1" applyAlignment="1">
      <alignment horizontal="center"/>
    </xf>
    <xf numFmtId="0" fontId="36" fillId="0" borderId="58" xfId="45" applyNumberFormat="1" applyFont="1" applyFill="1" applyBorder="1" applyAlignment="1">
      <alignment horizontal="center"/>
    </xf>
    <xf numFmtId="0" fontId="36" fillId="0" borderId="36" xfId="45" applyNumberFormat="1" applyFont="1" applyFill="1" applyBorder="1" applyAlignment="1">
      <alignment horizontal="center"/>
    </xf>
    <xf numFmtId="0" fontId="36" fillId="0" borderId="37" xfId="45" applyNumberFormat="1" applyFont="1" applyFill="1" applyBorder="1" applyAlignment="1">
      <alignment horizontal="center"/>
    </xf>
    <xf numFmtId="1" fontId="36" fillId="0" borderId="58" xfId="45" applyNumberFormat="1" applyFont="1" applyFill="1" applyBorder="1" applyAlignment="1">
      <alignment horizontal="center"/>
    </xf>
    <xf numFmtId="1" fontId="36" fillId="0" borderId="36" xfId="45" applyNumberFormat="1" applyFont="1" applyFill="1" applyBorder="1" applyAlignment="1">
      <alignment horizontal="center"/>
    </xf>
    <xf numFmtId="1" fontId="36" fillId="0" borderId="37" xfId="45" applyNumberFormat="1" applyFont="1" applyFill="1" applyBorder="1" applyAlignment="1">
      <alignment horizontal="center"/>
    </xf>
    <xf numFmtId="0" fontId="16" fillId="3" borderId="45" xfId="45" applyNumberFormat="1" applyFont="1" applyFill="1" applyBorder="1" applyAlignment="1">
      <alignment horizontal="center" vertical="center" wrapText="1"/>
    </xf>
    <xf numFmtId="0" fontId="16" fillId="3" borderId="55" xfId="45" applyNumberFormat="1" applyFont="1" applyFill="1" applyBorder="1" applyAlignment="1">
      <alignment horizontal="center" vertical="center" wrapText="1"/>
    </xf>
    <xf numFmtId="0" fontId="16" fillId="3" borderId="55" xfId="46" applyFont="1" applyFill="1" applyBorder="1" applyAlignment="1">
      <alignment horizontal="center" vertical="center"/>
    </xf>
    <xf numFmtId="1" fontId="27" fillId="0" borderId="46" xfId="45" applyNumberFormat="1" applyFont="1" applyFill="1" applyBorder="1" applyAlignment="1">
      <alignment horizontal="center"/>
    </xf>
    <xf numFmtId="1" fontId="27" fillId="0" borderId="57" xfId="45" applyNumberFormat="1" applyFont="1" applyFill="1" applyBorder="1" applyAlignment="1">
      <alignment horizontal="center"/>
    </xf>
    <xf numFmtId="166" fontId="27" fillId="0" borderId="57" xfId="46" applyNumberFormat="1" applyFont="1" applyFill="1" applyBorder="1" applyAlignment="1">
      <alignment horizontal="center"/>
    </xf>
    <xf numFmtId="0" fontId="36" fillId="0" borderId="46" xfId="45" applyNumberFormat="1" applyFont="1" applyFill="1" applyBorder="1" applyAlignment="1">
      <alignment horizontal="center"/>
    </xf>
    <xf numFmtId="0" fontId="36" fillId="0" borderId="57" xfId="45" applyNumberFormat="1" applyFont="1" applyFill="1" applyBorder="1" applyAlignment="1">
      <alignment horizontal="center"/>
    </xf>
    <xf numFmtId="166" fontId="36" fillId="0" borderId="57" xfId="48" applyNumberFormat="1" applyFont="1" applyFill="1" applyBorder="1" applyAlignment="1">
      <alignment horizontal="center"/>
    </xf>
    <xf numFmtId="0" fontId="36" fillId="0" borderId="39" xfId="45" applyNumberFormat="1" applyFont="1" applyFill="1" applyBorder="1" applyAlignment="1">
      <alignment horizontal="center"/>
    </xf>
    <xf numFmtId="0" fontId="36" fillId="0" borderId="67" xfId="45" applyNumberFormat="1" applyFont="1" applyFill="1" applyBorder="1" applyAlignment="1">
      <alignment horizontal="center"/>
    </xf>
    <xf numFmtId="166" fontId="36" fillId="0" borderId="67" xfId="48" applyNumberFormat="1" applyFont="1" applyFill="1" applyBorder="1" applyAlignment="1">
      <alignment horizontal="center"/>
    </xf>
    <xf numFmtId="0" fontId="3" fillId="0" borderId="0" xfId="0" applyFont="1" applyAlignment="1">
      <alignment vertical="center"/>
    </xf>
    <xf numFmtId="168" fontId="0" fillId="0" borderId="0" xfId="0" applyNumberFormat="1" applyAlignment="1">
      <alignment horizontal="center"/>
    </xf>
    <xf numFmtId="0" fontId="23" fillId="0" borderId="0" xfId="21" applyFont="1"/>
    <xf numFmtId="0" fontId="23" fillId="0" borderId="0" xfId="21" applyFont="1" applyProtection="1"/>
    <xf numFmtId="0" fontId="27" fillId="0" borderId="0" xfId="21" applyFont="1" applyProtection="1"/>
    <xf numFmtId="0" fontId="27" fillId="0" borderId="0" xfId="21" applyFont="1"/>
    <xf numFmtId="166" fontId="0" fillId="0" borderId="0" xfId="2" applyNumberFormat="1" applyFont="1" applyBorder="1" applyAlignment="1">
      <alignment horizontal="center" vertical="center"/>
    </xf>
    <xf numFmtId="168" fontId="0" fillId="0" borderId="0" xfId="0" applyNumberFormat="1" applyFont="1" applyAlignment="1">
      <alignment horizontal="center" vertical="center"/>
    </xf>
    <xf numFmtId="0" fontId="0" fillId="0" borderId="0" xfId="0" applyFill="1" applyBorder="1" applyAlignment="1"/>
    <xf numFmtId="0" fontId="39" fillId="0" borderId="0" xfId="0" applyFont="1" applyFill="1" applyBorder="1" applyAlignment="1">
      <alignment horizontal="center"/>
    </xf>
    <xf numFmtId="0" fontId="3" fillId="0" borderId="0" xfId="0" applyFont="1" applyAlignment="1">
      <alignment horizontal="left"/>
    </xf>
    <xf numFmtId="164" fontId="0" fillId="0" borderId="5" xfId="0" applyNumberFormat="1" applyFill="1" applyBorder="1" applyAlignment="1">
      <alignment horizontal="center"/>
    </xf>
    <xf numFmtId="164" fontId="0" fillId="5" borderId="5" xfId="0" applyNumberFormat="1" applyFill="1" applyBorder="1" applyAlignment="1">
      <alignment horizontal="center"/>
    </xf>
    <xf numFmtId="0" fontId="16" fillId="3" borderId="2" xfId="0" applyFont="1" applyFill="1" applyBorder="1" applyAlignment="1">
      <alignment horizontal="center" vertical="center" wrapText="1"/>
    </xf>
    <xf numFmtId="0" fontId="0" fillId="0" borderId="37" xfId="0" applyFill="1" applyBorder="1" applyAlignment="1">
      <alignment horizontal="left" vertical="center"/>
    </xf>
    <xf numFmtId="37" fontId="0" fillId="0" borderId="0" xfId="0" applyNumberFormat="1" applyAlignment="1">
      <alignment horizontal="center"/>
    </xf>
    <xf numFmtId="168" fontId="0" fillId="0" borderId="59" xfId="0" applyNumberFormat="1" applyBorder="1"/>
    <xf numFmtId="0" fontId="0" fillId="0" borderId="68" xfId="0" applyFill="1" applyBorder="1" applyAlignment="1">
      <alignment horizontal="left" vertical="center"/>
    </xf>
    <xf numFmtId="0" fontId="0" fillId="0" borderId="2" xfId="0" applyBorder="1" applyAlignment="1">
      <alignment horizontal="center"/>
    </xf>
    <xf numFmtId="0" fontId="11" fillId="3" borderId="2" xfId="0" applyFont="1" applyFill="1" applyBorder="1" applyAlignment="1">
      <alignment horizontal="center"/>
    </xf>
    <xf numFmtId="166" fontId="0" fillId="0" borderId="0" xfId="2" applyNumberFormat="1" applyFont="1"/>
    <xf numFmtId="168" fontId="0" fillId="0" borderId="0" xfId="0" applyNumberFormat="1" applyFont="1" applyAlignment="1">
      <alignment horizontal="center"/>
    </xf>
    <xf numFmtId="37" fontId="0" fillId="0" borderId="0" xfId="3" applyNumberFormat="1" applyFont="1" applyFill="1" applyBorder="1" applyAlignment="1">
      <alignment horizontal="center" wrapText="1"/>
    </xf>
    <xf numFmtId="0" fontId="18" fillId="0" borderId="0" xfId="0" applyFont="1" applyFill="1" applyBorder="1" applyAlignment="1">
      <alignment horizontal="left"/>
    </xf>
    <xf numFmtId="0" fontId="0" fillId="0" borderId="0" xfId="0" applyBorder="1" applyAlignment="1">
      <alignment vertical="top" wrapText="1"/>
    </xf>
    <xf numFmtId="0" fontId="0" fillId="0" borderId="46" xfId="0" applyBorder="1" applyAlignment="1">
      <alignment vertical="top" wrapText="1"/>
    </xf>
    <xf numFmtId="37" fontId="0" fillId="0" borderId="0" xfId="3" applyNumberFormat="1" applyFont="1" applyBorder="1" applyAlignment="1">
      <alignment horizontal="center" wrapText="1"/>
    </xf>
    <xf numFmtId="168" fontId="0" fillId="0" borderId="0" xfId="2" applyNumberFormat="1" applyFont="1" applyAlignment="1">
      <alignment horizontal="right"/>
    </xf>
    <xf numFmtId="168" fontId="5" fillId="0" borderId="0" xfId="0" applyNumberFormat="1" applyFont="1" applyAlignment="1">
      <alignment horizontal="center"/>
    </xf>
    <xf numFmtId="168" fontId="5" fillId="0" borderId="0" xfId="0" applyNumberFormat="1" applyFont="1" applyAlignment="1">
      <alignment horizontal="left"/>
    </xf>
    <xf numFmtId="0" fontId="40" fillId="0" borderId="0" xfId="0" applyFont="1"/>
    <xf numFmtId="168" fontId="21" fillId="0" borderId="0" xfId="0" applyNumberFormat="1" applyFont="1"/>
    <xf numFmtId="0" fontId="21" fillId="0" borderId="0" xfId="0" quotePrefix="1" applyFont="1"/>
    <xf numFmtId="168" fontId="21" fillId="0" borderId="0" xfId="0" applyNumberFormat="1" applyFont="1" applyAlignment="1">
      <alignment horizontal="center"/>
    </xf>
    <xf numFmtId="0" fontId="41" fillId="0" borderId="0" xfId="0" applyFont="1"/>
    <xf numFmtId="0" fontId="42" fillId="0" borderId="0" xfId="0" applyFont="1"/>
    <xf numFmtId="0" fontId="42" fillId="0" borderId="0" xfId="0" quotePrefix="1" applyFont="1"/>
    <xf numFmtId="168" fontId="0" fillId="0" borderId="44" xfId="0" applyNumberFormat="1" applyBorder="1"/>
    <xf numFmtId="0" fontId="0" fillId="0" borderId="24" xfId="0" applyBorder="1"/>
    <xf numFmtId="0" fontId="0" fillId="0" borderId="25" xfId="0" applyFill="1" applyBorder="1" applyAlignment="1">
      <alignment horizontal="center" vertical="top"/>
    </xf>
    <xf numFmtId="0" fontId="0" fillId="0" borderId="37" xfId="0" applyBorder="1" applyAlignment="1">
      <alignment vertical="top"/>
    </xf>
    <xf numFmtId="169" fontId="0" fillId="0" borderId="8" xfId="0" applyNumberFormat="1" applyBorder="1" applyAlignment="1">
      <alignment horizontal="center" vertical="center"/>
    </xf>
    <xf numFmtId="169" fontId="0" fillId="0" borderId="9" xfId="0" applyNumberFormat="1" applyBorder="1" applyAlignment="1">
      <alignment horizontal="center" vertical="center"/>
    </xf>
    <xf numFmtId="166" fontId="3" fillId="0" borderId="28" xfId="2" applyNumberFormat="1" applyFont="1" applyFill="1" applyBorder="1" applyAlignment="1">
      <alignment horizontal="center" vertical="center"/>
    </xf>
    <xf numFmtId="169" fontId="3" fillId="2" borderId="55" xfId="0" applyNumberFormat="1" applyFont="1" applyFill="1" applyBorder="1" applyAlignment="1">
      <alignment horizontal="center" vertical="center"/>
    </xf>
    <xf numFmtId="166" fontId="3" fillId="0" borderId="50" xfId="2" applyNumberFormat="1" applyFont="1" applyFill="1" applyBorder="1" applyAlignment="1">
      <alignment horizontal="center" vertical="center"/>
    </xf>
    <xf numFmtId="167" fontId="5" fillId="0" borderId="2" xfId="0" applyNumberFormat="1" applyFont="1" applyFill="1" applyBorder="1" applyAlignment="1">
      <alignment horizontal="center" vertical="center"/>
    </xf>
    <xf numFmtId="0" fontId="0" fillId="0" borderId="51" xfId="0" applyBorder="1" applyAlignment="1">
      <alignment horizontal="center"/>
    </xf>
    <xf numFmtId="169" fontId="5" fillId="0" borderId="41" xfId="0" applyNumberFormat="1" applyFont="1" applyFill="1" applyBorder="1" applyAlignment="1">
      <alignment horizontal="center" vertical="center"/>
    </xf>
    <xf numFmtId="0" fontId="16" fillId="3" borderId="2" xfId="0" applyFont="1" applyFill="1" applyBorder="1" applyAlignment="1">
      <alignment horizontal="center" vertical="center" wrapText="1"/>
    </xf>
    <xf numFmtId="171" fontId="16" fillId="3" borderId="54" xfId="47" applyNumberFormat="1" applyFont="1" applyFill="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center" vertical="center"/>
    </xf>
    <xf numFmtId="168" fontId="21" fillId="0" borderId="0" xfId="0" applyNumberFormat="1" applyFont="1" applyAlignment="1">
      <alignment horizontal="right" vertical="center"/>
    </xf>
    <xf numFmtId="0" fontId="21" fillId="0" borderId="0" xfId="0" applyFont="1" applyAlignment="1">
      <alignment horizontal="left" vertical="center"/>
    </xf>
    <xf numFmtId="168" fontId="21" fillId="0" borderId="0" xfId="0" applyNumberFormat="1" applyFont="1" applyAlignment="1">
      <alignment horizontal="right"/>
    </xf>
    <xf numFmtId="0" fontId="21" fillId="0" borderId="0" xfId="0" quotePrefix="1" applyFont="1" applyAlignment="1">
      <alignment horizontal="left" vertical="center"/>
    </xf>
    <xf numFmtId="0" fontId="21" fillId="0" borderId="0" xfId="0" applyFont="1" applyAlignment="1">
      <alignment horizontal="left"/>
    </xf>
    <xf numFmtId="0" fontId="0" fillId="0" borderId="0" xfId="0"/>
    <xf numFmtId="0" fontId="11" fillId="3" borderId="2" xfId="0" applyFont="1" applyFill="1" applyBorder="1" applyAlignment="1">
      <alignment horizontal="center"/>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wrapText="1"/>
    </xf>
    <xf numFmtId="0" fontId="0" fillId="0" borderId="0" xfId="0"/>
    <xf numFmtId="166" fontId="2" fillId="0" borderId="14" xfId="2" applyNumberFormat="1" applyFont="1" applyFill="1" applyBorder="1" applyAlignment="1">
      <alignment horizontal="center" vertical="center"/>
    </xf>
    <xf numFmtId="166" fontId="2" fillId="0" borderId="13" xfId="2" applyNumberFormat="1" applyFont="1" applyFill="1" applyBorder="1" applyAlignment="1">
      <alignment horizontal="center" vertical="center"/>
    </xf>
    <xf numFmtId="166" fontId="2" fillId="0" borderId="50" xfId="2" applyNumberFormat="1" applyFont="1" applyBorder="1" applyAlignment="1">
      <alignment horizontal="center" vertical="center"/>
    </xf>
    <xf numFmtId="168" fontId="17" fillId="0" borderId="0" xfId="0" applyNumberFormat="1" applyFont="1" applyFill="1" applyBorder="1" applyAlignment="1">
      <alignment horizontal="center" vertical="center"/>
    </xf>
    <xf numFmtId="0" fontId="18" fillId="3" borderId="2" xfId="0" applyFont="1" applyFill="1" applyBorder="1" applyAlignment="1">
      <alignment horizontal="left" vertical="center"/>
    </xf>
    <xf numFmtId="0" fontId="0" fillId="5" borderId="4" xfId="0" applyFill="1" applyBorder="1"/>
    <xf numFmtId="0" fontId="0" fillId="0" borderId="4" xfId="0" applyFill="1" applyBorder="1"/>
    <xf numFmtId="0" fontId="0" fillId="0" borderId="0" xfId="0" applyFont="1" applyBorder="1"/>
    <xf numFmtId="169" fontId="6" fillId="0" borderId="0" xfId="0" applyNumberFormat="1" applyFont="1" applyBorder="1" applyAlignment="1">
      <alignment wrapText="1"/>
    </xf>
    <xf numFmtId="169" fontId="6" fillId="0" borderId="0" xfId="0" applyNumberFormat="1" applyFont="1" applyBorder="1" applyAlignment="1">
      <alignment horizontal="left" wrapText="1"/>
    </xf>
    <xf numFmtId="0" fontId="3" fillId="0" borderId="31" xfId="0" applyFont="1" applyBorder="1" applyAlignment="1">
      <alignment horizontal="left" vertical="center"/>
    </xf>
    <xf numFmtId="168" fontId="0" fillId="0" borderId="0" xfId="0" applyNumberFormat="1" applyFont="1" applyBorder="1" applyAlignment="1">
      <alignment vertical="top"/>
    </xf>
    <xf numFmtId="168" fontId="0" fillId="0" borderId="0" xfId="0" applyNumberFormat="1" applyFont="1" applyAlignment="1">
      <alignment vertical="top" wrapText="1"/>
    </xf>
    <xf numFmtId="0" fontId="0" fillId="0" borderId="0" xfId="0" applyFont="1" applyAlignment="1">
      <alignment horizontal="center" vertical="top"/>
    </xf>
    <xf numFmtId="0" fontId="0" fillId="0" borderId="0" xfId="0"/>
    <xf numFmtId="0" fontId="0" fillId="0" borderId="0" xfId="0"/>
    <xf numFmtId="1" fontId="0" fillId="0" borderId="0" xfId="0" applyNumberFormat="1"/>
    <xf numFmtId="0" fontId="34" fillId="0" borderId="0" xfId="0" applyFont="1" applyAlignment="1">
      <alignment horizontal="left" vertical="center"/>
    </xf>
    <xf numFmtId="0" fontId="5" fillId="0" borderId="0" xfId="0" applyFont="1" applyAlignment="1">
      <alignment horizontal="center" vertical="center"/>
    </xf>
    <xf numFmtId="0" fontId="13" fillId="3" borderId="31" xfId="0" applyFont="1" applyFill="1" applyBorder="1" applyAlignment="1">
      <alignment horizontal="left" vertical="center"/>
    </xf>
    <xf numFmtId="0" fontId="35" fillId="0" borderId="0" xfId="0" applyFont="1" applyFill="1" applyAlignment="1">
      <alignment horizontal="center" vertical="center"/>
    </xf>
    <xf numFmtId="0" fontId="5" fillId="0" borderId="0" xfId="0" applyFont="1"/>
    <xf numFmtId="0" fontId="34" fillId="0" borderId="0" xfId="0" applyFont="1" applyAlignment="1">
      <alignment horizontal="left"/>
    </xf>
    <xf numFmtId="0" fontId="35" fillId="0" borderId="0" xfId="0" applyFont="1" applyFill="1" applyBorder="1"/>
    <xf numFmtId="168" fontId="5" fillId="0" borderId="0" xfId="0" applyNumberFormat="1" applyFont="1"/>
    <xf numFmtId="166" fontId="5" fillId="0" borderId="0" xfId="2" applyNumberFormat="1" applyFont="1" applyBorder="1" applyAlignment="1">
      <alignment horizontal="center"/>
    </xf>
    <xf numFmtId="0" fontId="5" fillId="0" borderId="0" xfId="0" applyFont="1" applyBorder="1"/>
    <xf numFmtId="0" fontId="6" fillId="0" borderId="0" xfId="0" applyFont="1" applyBorder="1" applyAlignment="1">
      <alignment horizontal="left" vertical="top" wrapText="1"/>
    </xf>
    <xf numFmtId="166" fontId="5" fillId="0" borderId="5" xfId="2" applyNumberFormat="1" applyFont="1" applyFill="1" applyBorder="1" applyAlignment="1">
      <alignment horizontal="center"/>
    </xf>
    <xf numFmtId="166" fontId="5" fillId="0" borderId="3" xfId="2" applyNumberFormat="1" applyFont="1" applyBorder="1" applyAlignment="1">
      <alignment horizontal="center"/>
    </xf>
    <xf numFmtId="166" fontId="5" fillId="5" borderId="5" xfId="2" applyNumberFormat="1" applyFont="1" applyFill="1" applyBorder="1" applyAlignment="1">
      <alignment horizontal="center"/>
    </xf>
    <xf numFmtId="0" fontId="5" fillId="0" borderId="0" xfId="0" applyFont="1" applyBorder="1" applyAlignment="1">
      <alignment horizontal="center" vertical="top" wrapText="1"/>
    </xf>
    <xf numFmtId="166" fontId="5" fillId="0" borderId="4" xfId="2" applyNumberFormat="1" applyFont="1" applyBorder="1" applyAlignment="1">
      <alignment horizontal="center"/>
    </xf>
    <xf numFmtId="166" fontId="5" fillId="0" borderId="5" xfId="2" applyNumberFormat="1" applyFont="1" applyBorder="1" applyAlignment="1">
      <alignment horizontal="center"/>
    </xf>
    <xf numFmtId="166" fontId="5" fillId="0" borderId="7" xfId="2" applyNumberFormat="1" applyFont="1" applyBorder="1" applyAlignment="1">
      <alignment horizontal="center"/>
    </xf>
    <xf numFmtId="166" fontId="5" fillId="0" borderId="8" xfId="2" applyNumberFormat="1" applyFont="1" applyBorder="1" applyAlignment="1">
      <alignment horizontal="center"/>
    </xf>
    <xf numFmtId="166" fontId="5" fillId="0" borderId="42" xfId="2" applyNumberFormat="1" applyFont="1" applyBorder="1" applyAlignment="1">
      <alignment horizontal="center"/>
    </xf>
    <xf numFmtId="0" fontId="44" fillId="0" borderId="0" xfId="0" applyFont="1"/>
    <xf numFmtId="0" fontId="5" fillId="0" borderId="0" xfId="0" applyFont="1" applyBorder="1" applyAlignment="1">
      <alignment vertical="top" wrapText="1"/>
    </xf>
    <xf numFmtId="0" fontId="6" fillId="0" borderId="0" xfId="0" applyFont="1"/>
    <xf numFmtId="0" fontId="5" fillId="0" borderId="0" xfId="0" quotePrefix="1" applyFont="1"/>
    <xf numFmtId="164" fontId="6" fillId="0" borderId="12" xfId="0" applyNumberFormat="1" applyFont="1" applyFill="1" applyBorder="1" applyAlignment="1">
      <alignment horizontal="center" vertical="center"/>
    </xf>
    <xf numFmtId="164" fontId="6" fillId="5" borderId="6"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164" fontId="6" fillId="0" borderId="9" xfId="0" applyNumberFormat="1" applyFont="1" applyFill="1" applyBorder="1" applyAlignment="1">
      <alignment horizontal="center" vertical="center"/>
    </xf>
    <xf numFmtId="0" fontId="0" fillId="0" borderId="19" xfId="0" applyBorder="1" applyAlignment="1">
      <alignment vertical="top"/>
    </xf>
    <xf numFmtId="0" fontId="0" fillId="0" borderId="46" xfId="0" applyBorder="1" applyAlignment="1">
      <alignment vertical="top"/>
    </xf>
    <xf numFmtId="0" fontId="0" fillId="7" borderId="41" xfId="0" applyFont="1" applyFill="1" applyBorder="1" applyAlignment="1">
      <alignment horizontal="center"/>
    </xf>
    <xf numFmtId="166" fontId="0" fillId="7" borderId="42" xfId="2" applyNumberFormat="1" applyFont="1" applyFill="1" applyBorder="1" applyAlignment="1">
      <alignment horizontal="center"/>
    </xf>
    <xf numFmtId="0" fontId="20" fillId="7" borderId="41" xfId="0" applyFont="1" applyFill="1" applyBorder="1" applyAlignment="1">
      <alignment horizontal="center" vertical="center"/>
    </xf>
    <xf numFmtId="0" fontId="17" fillId="7" borderId="32" xfId="0" applyFont="1" applyFill="1" applyBorder="1"/>
    <xf numFmtId="0" fontId="17" fillId="7" borderId="33" xfId="0" applyFont="1" applyFill="1" applyBorder="1"/>
    <xf numFmtId="0" fontId="17" fillId="7" borderId="32" xfId="0" applyFont="1" applyFill="1" applyBorder="1" applyAlignment="1">
      <alignment horizontal="center" vertical="center"/>
    </xf>
    <xf numFmtId="0" fontId="17" fillId="7" borderId="33" xfId="0" applyFont="1" applyFill="1" applyBorder="1" applyAlignment="1">
      <alignment horizontal="center" vertical="center"/>
    </xf>
    <xf numFmtId="1" fontId="0" fillId="7" borderId="41" xfId="0" applyNumberFormat="1" applyFill="1" applyBorder="1" applyAlignment="1">
      <alignment horizontal="center" vertical="center"/>
    </xf>
    <xf numFmtId="1" fontId="0" fillId="7" borderId="40" xfId="0" applyNumberFormat="1" applyFill="1" applyBorder="1" applyAlignment="1">
      <alignment horizontal="center" vertical="center"/>
    </xf>
    <xf numFmtId="0" fontId="0" fillId="7" borderId="40" xfId="0" applyFill="1" applyBorder="1" applyAlignment="1">
      <alignment horizontal="center" vertical="center"/>
    </xf>
    <xf numFmtId="0" fontId="0" fillId="7" borderId="42" xfId="0" applyFill="1" applyBorder="1" applyAlignment="1">
      <alignment horizontal="center" vertical="center"/>
    </xf>
    <xf numFmtId="0" fontId="0" fillId="7" borderId="43" xfId="0" quotePrefix="1" applyFill="1" applyBorder="1" applyAlignment="1">
      <alignment horizontal="center" vertical="center"/>
    </xf>
    <xf numFmtId="0" fontId="0" fillId="7" borderId="40" xfId="0" quotePrefix="1" applyFill="1" applyBorder="1" applyAlignment="1">
      <alignment horizontal="center" vertical="center"/>
    </xf>
    <xf numFmtId="0" fontId="0" fillId="7" borderId="42" xfId="0" quotePrefix="1" applyFill="1" applyBorder="1" applyAlignment="1">
      <alignment horizontal="center" vertical="center"/>
    </xf>
    <xf numFmtId="0" fontId="0" fillId="7" borderId="43" xfId="0" quotePrefix="1" applyFill="1" applyBorder="1" applyAlignment="1">
      <alignment horizontal="center"/>
    </xf>
    <xf numFmtId="0" fontId="0" fillId="7" borderId="40" xfId="0" quotePrefix="1" applyFill="1" applyBorder="1" applyAlignment="1">
      <alignment horizontal="center"/>
    </xf>
    <xf numFmtId="0" fontId="0" fillId="7" borderId="42" xfId="0" quotePrefix="1" applyFill="1" applyBorder="1" applyAlignment="1">
      <alignment horizontal="center"/>
    </xf>
    <xf numFmtId="164" fontId="0" fillId="0" borderId="3" xfId="0" applyNumberFormat="1" applyFill="1" applyBorder="1" applyAlignment="1">
      <alignment horizontal="center"/>
    </xf>
    <xf numFmtId="164" fontId="0" fillId="0" borderId="11" xfId="0" applyNumberFormat="1" applyFill="1" applyBorder="1" applyAlignment="1">
      <alignment horizontal="center"/>
    </xf>
    <xf numFmtId="164" fontId="0" fillId="0" borderId="58" xfId="0" applyNumberFormat="1" applyFill="1" applyBorder="1" applyAlignment="1">
      <alignment horizontal="center"/>
    </xf>
    <xf numFmtId="164" fontId="0" fillId="5" borderId="27" xfId="0" applyNumberFormat="1" applyFill="1" applyBorder="1" applyAlignment="1">
      <alignment horizontal="center"/>
    </xf>
    <xf numFmtId="0" fontId="20" fillId="7" borderId="43" xfId="0" applyFont="1" applyFill="1" applyBorder="1" applyAlignment="1">
      <alignment horizontal="center" vertical="center" wrapText="1"/>
    </xf>
    <xf numFmtId="0" fontId="20" fillId="7" borderId="40"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0" fillId="5" borderId="15" xfId="0" applyFill="1" applyBorder="1" applyAlignment="1">
      <alignment horizontal="center"/>
    </xf>
    <xf numFmtId="168" fontId="3" fillId="7" borderId="31" xfId="0" applyNumberFormat="1" applyFont="1" applyFill="1" applyBorder="1" applyAlignment="1">
      <alignment horizontal="center" vertical="center"/>
    </xf>
    <xf numFmtId="0" fontId="3" fillId="7" borderId="32" xfId="0" applyFont="1" applyFill="1" applyBorder="1" applyAlignment="1">
      <alignment horizontal="left" vertical="center"/>
    </xf>
    <xf numFmtId="0" fontId="3" fillId="7" borderId="32" xfId="0" applyFont="1" applyFill="1" applyBorder="1" applyAlignment="1">
      <alignment horizontal="center" vertical="center"/>
    </xf>
    <xf numFmtId="0" fontId="0" fillId="7" borderId="32" xfId="0" applyFill="1" applyBorder="1" applyAlignment="1">
      <alignment horizontal="center" vertical="center"/>
    </xf>
    <xf numFmtId="0" fontId="3" fillId="7" borderId="33" xfId="0" applyFont="1" applyFill="1" applyBorder="1" applyAlignment="1">
      <alignment horizontal="center" vertical="center"/>
    </xf>
    <xf numFmtId="168" fontId="0" fillId="0" borderId="0" xfId="0" applyNumberFormat="1" applyFill="1" applyAlignment="1">
      <alignment horizontal="center" vertical="center"/>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21" xfId="0" applyFill="1" applyBorder="1" applyAlignment="1">
      <alignment horizontal="center" vertical="center"/>
    </xf>
    <xf numFmtId="0" fontId="0" fillId="0" borderId="58" xfId="0" applyFill="1" applyBorder="1" applyAlignment="1">
      <alignment horizontal="center" vertical="center"/>
    </xf>
    <xf numFmtId="166" fontId="3" fillId="5" borderId="50" xfId="2" applyNumberFormat="1" applyFont="1" applyFill="1" applyBorder="1" applyAlignment="1">
      <alignment horizontal="center" vertical="center"/>
    </xf>
    <xf numFmtId="166" fontId="2" fillId="5" borderId="15" xfId="2" applyNumberFormat="1" applyFont="1" applyFill="1" applyBorder="1" applyAlignment="1">
      <alignment horizontal="center" vertical="center"/>
    </xf>
    <xf numFmtId="0" fontId="0" fillId="5" borderId="25" xfId="0" applyFill="1" applyBorder="1" applyAlignment="1">
      <alignment horizontal="left" vertical="center"/>
    </xf>
    <xf numFmtId="0" fontId="0" fillId="5" borderId="25" xfId="0" applyFill="1" applyBorder="1" applyAlignment="1">
      <alignment horizontal="center" vertical="center"/>
    </xf>
    <xf numFmtId="0" fontId="0" fillId="5" borderId="24" xfId="0" applyFill="1" applyBorder="1" applyAlignment="1">
      <alignment horizontal="left" vertical="center"/>
    </xf>
    <xf numFmtId="0" fontId="0" fillId="5" borderId="37" xfId="0" applyFill="1" applyBorder="1" applyAlignment="1">
      <alignment horizontal="center" vertical="center"/>
    </xf>
    <xf numFmtId="166" fontId="3" fillId="5" borderId="15" xfId="2" applyNumberFormat="1" applyFont="1" applyFill="1" applyBorder="1" applyAlignment="1">
      <alignment horizontal="center" vertical="center"/>
    </xf>
    <xf numFmtId="0" fontId="0" fillId="0" borderId="4" xfId="0" applyFont="1" applyFill="1" applyBorder="1"/>
    <xf numFmtId="0" fontId="0" fillId="5" borderId="7" xfId="0" applyFont="1" applyFill="1" applyBorder="1"/>
    <xf numFmtId="0" fontId="0" fillId="0" borderId="0" xfId="0"/>
    <xf numFmtId="166" fontId="4" fillId="5" borderId="3" xfId="2" applyNumberFormat="1" applyFont="1" applyFill="1" applyBorder="1" applyAlignment="1">
      <alignment horizontal="center" vertical="center"/>
    </xf>
    <xf numFmtId="166" fontId="7" fillId="5" borderId="9" xfId="2" applyNumberFormat="1" applyFont="1" applyFill="1" applyBorder="1" applyAlignment="1">
      <alignment horizontal="center" vertical="center"/>
    </xf>
    <xf numFmtId="0" fontId="4" fillId="0" borderId="19" xfId="0" applyFont="1" applyFill="1" applyBorder="1" applyAlignment="1">
      <alignment horizontal="center" vertical="center"/>
    </xf>
    <xf numFmtId="169" fontId="0" fillId="5" borderId="6" xfId="0" applyNumberFormat="1" applyFill="1" applyBorder="1" applyAlignment="1">
      <alignment horizontal="center"/>
    </xf>
    <xf numFmtId="169" fontId="0" fillId="0" borderId="6" xfId="0" applyNumberFormat="1" applyFill="1" applyBorder="1" applyAlignment="1">
      <alignment horizontal="center"/>
    </xf>
    <xf numFmtId="166" fontId="0" fillId="0" borderId="3" xfId="2" applyNumberFormat="1" applyFont="1" applyFill="1" applyBorder="1" applyAlignment="1">
      <alignment horizontal="center"/>
    </xf>
    <xf numFmtId="166" fontId="2" fillId="5" borderId="6" xfId="2" applyNumberFormat="1" applyFont="1" applyFill="1" applyBorder="1" applyAlignment="1">
      <alignment horizontal="center"/>
    </xf>
    <xf numFmtId="166" fontId="2" fillId="0" borderId="6" xfId="2" applyNumberFormat="1" applyFont="1" applyFill="1" applyBorder="1" applyAlignment="1">
      <alignment horizontal="center"/>
    </xf>
    <xf numFmtId="2" fontId="0" fillId="0" borderId="6" xfId="0" applyNumberFormat="1" applyFill="1" applyBorder="1" applyAlignment="1">
      <alignment horizontal="center"/>
    </xf>
    <xf numFmtId="166" fontId="3" fillId="5" borderId="6" xfId="2" applyNumberFormat="1" applyFont="1" applyFill="1" applyBorder="1" applyAlignment="1">
      <alignment horizontal="center"/>
    </xf>
    <xf numFmtId="168" fontId="0" fillId="0" borderId="0" xfId="0" applyNumberFormat="1" applyAlignment="1">
      <alignment vertical="top"/>
    </xf>
    <xf numFmtId="175" fontId="0" fillId="0" borderId="0" xfId="0" applyNumberFormat="1"/>
    <xf numFmtId="175" fontId="0" fillId="0" borderId="0" xfId="2" applyNumberFormat="1" applyFont="1"/>
    <xf numFmtId="166" fontId="0" fillId="0" borderId="0" xfId="0" applyNumberFormat="1"/>
    <xf numFmtId="0" fontId="0" fillId="5" borderId="5" xfId="0" applyFont="1" applyFill="1" applyBorder="1"/>
    <xf numFmtId="0" fontId="0" fillId="5" borderId="4" xfId="0" applyFont="1" applyFill="1" applyBorder="1"/>
    <xf numFmtId="0" fontId="0" fillId="0" borderId="51" xfId="0" applyFont="1" applyFill="1" applyBorder="1"/>
    <xf numFmtId="0" fontId="0" fillId="0" borderId="52" xfId="0" applyFont="1" applyFill="1" applyBorder="1"/>
    <xf numFmtId="0" fontId="0" fillId="0" borderId="5" xfId="0" applyFont="1" applyFill="1" applyBorder="1"/>
    <xf numFmtId="176" fontId="0" fillId="0" borderId="6" xfId="2" applyNumberFormat="1" applyFont="1" applyFill="1" applyBorder="1" applyAlignment="1">
      <alignment horizontal="center"/>
    </xf>
    <xf numFmtId="0" fontId="0" fillId="5" borderId="8" xfId="0" applyFont="1" applyFill="1" applyBorder="1"/>
    <xf numFmtId="0" fontId="21" fillId="0" borderId="0" xfId="0" quotePrefix="1" applyFont="1" applyAlignment="1">
      <alignment horizontal="left" vertical="center" wrapText="1"/>
    </xf>
    <xf numFmtId="177" fontId="2" fillId="5" borderId="6" xfId="2" applyNumberFormat="1" applyFont="1" applyFill="1" applyBorder="1" applyAlignment="1">
      <alignment horizontal="center"/>
    </xf>
    <xf numFmtId="166" fontId="2" fillId="0" borderId="9" xfId="2" applyNumberFormat="1" applyFont="1" applyFill="1" applyBorder="1" applyAlignment="1">
      <alignment horizont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xf>
    <xf numFmtId="0" fontId="21" fillId="0" borderId="0" xfId="0" applyFont="1" applyAlignment="1">
      <alignment horizontal="right" vertical="center"/>
    </xf>
    <xf numFmtId="0" fontId="22" fillId="0" borderId="0" xfId="0" applyFont="1" applyAlignment="1">
      <alignment horizontal="left" vertical="center"/>
    </xf>
    <xf numFmtId="0" fontId="0" fillId="0" borderId="0" xfId="0"/>
    <xf numFmtId="1" fontId="5" fillId="0" borderId="0" xfId="0" applyNumberFormat="1" applyFont="1" applyFill="1" applyBorder="1" applyAlignment="1">
      <alignment horizontal="center" vertical="center"/>
    </xf>
    <xf numFmtId="169" fontId="5" fillId="0" borderId="0" xfId="0" applyNumberFormat="1" applyFont="1" applyFill="1" applyBorder="1" applyAlignment="1">
      <alignment horizontal="center" vertical="center"/>
    </xf>
    <xf numFmtId="166" fontId="5" fillId="0" borderId="0" xfId="2" applyNumberFormat="1" applyFont="1" applyFill="1" applyBorder="1" applyAlignment="1">
      <alignment horizontal="center" vertical="center"/>
    </xf>
    <xf numFmtId="0" fontId="0" fillId="0" borderId="0" xfId="0"/>
    <xf numFmtId="166" fontId="0" fillId="5" borderId="15" xfId="2" applyNumberFormat="1" applyFont="1" applyFill="1" applyBorder="1" applyAlignment="1">
      <alignment horizontal="center"/>
    </xf>
    <xf numFmtId="166" fontId="0" fillId="0" borderId="14" xfId="2" applyNumberFormat="1" applyFont="1" applyFill="1" applyBorder="1" applyAlignment="1">
      <alignment horizontal="center"/>
    </xf>
    <xf numFmtId="169" fontId="4" fillId="0" borderId="10" xfId="0" applyNumberFormat="1" applyFont="1" applyFill="1" applyBorder="1" applyAlignment="1" applyProtection="1">
      <alignment horizontal="center" vertical="center"/>
      <protection locked="0"/>
    </xf>
    <xf numFmtId="169" fontId="4" fillId="5" borderId="4" xfId="0" applyNumberFormat="1" applyFont="1" applyFill="1" applyBorder="1" applyAlignment="1" applyProtection="1">
      <alignment horizontal="center" vertical="center"/>
      <protection locked="0"/>
    </xf>
    <xf numFmtId="169" fontId="4" fillId="0" borderId="4" xfId="0" applyNumberFormat="1" applyFont="1" applyFill="1" applyBorder="1" applyAlignment="1" applyProtection="1">
      <alignment horizontal="center" vertical="center"/>
      <protection locked="0"/>
    </xf>
    <xf numFmtId="169" fontId="4" fillId="0" borderId="7" xfId="0" applyNumberFormat="1" applyFont="1" applyFill="1" applyBorder="1" applyAlignment="1" applyProtection="1">
      <alignment horizontal="center" vertical="center"/>
      <protection locked="0"/>
    </xf>
    <xf numFmtId="166" fontId="4" fillId="0" borderId="12" xfId="2" applyNumberFormat="1" applyFont="1" applyFill="1" applyBorder="1" applyAlignment="1" applyProtection="1">
      <alignment horizontal="center" vertical="center"/>
      <protection locked="0"/>
    </xf>
    <xf numFmtId="166" fontId="4" fillId="5" borderId="6" xfId="2" applyNumberFormat="1" applyFont="1" applyFill="1" applyBorder="1" applyAlignment="1" applyProtection="1">
      <alignment horizontal="center" vertical="center"/>
      <protection locked="0"/>
    </xf>
    <xf numFmtId="166" fontId="4" fillId="0" borderId="6" xfId="2" applyNumberFormat="1" applyFont="1" applyFill="1" applyBorder="1" applyAlignment="1" applyProtection="1">
      <alignment horizontal="center" vertical="center"/>
      <protection locked="0"/>
    </xf>
    <xf numFmtId="166" fontId="4" fillId="0" borderId="9" xfId="2" applyNumberFormat="1" applyFont="1" applyFill="1" applyBorder="1" applyAlignment="1" applyProtection="1">
      <alignment horizontal="center" vertical="center"/>
      <protection locked="0"/>
    </xf>
    <xf numFmtId="166" fontId="13" fillId="3" borderId="62" xfId="2" applyNumberFormat="1" applyFont="1" applyFill="1" applyBorder="1" applyAlignment="1" applyProtection="1">
      <alignment horizontal="center" vertical="center"/>
      <protection locked="0"/>
    </xf>
    <xf numFmtId="0" fontId="0" fillId="0" borderId="0" xfId="0" applyProtection="1">
      <protection locked="0"/>
    </xf>
    <xf numFmtId="5" fontId="0" fillId="0" borderId="52" xfId="1" applyNumberFormat="1" applyFont="1" applyBorder="1" applyAlignment="1" applyProtection="1">
      <alignment horizontal="center" vertical="center"/>
      <protection locked="0"/>
    </xf>
    <xf numFmtId="10" fontId="0" fillId="0" borderId="3" xfId="2" applyNumberFormat="1" applyFont="1" applyBorder="1" applyAlignment="1" applyProtection="1">
      <alignment horizontal="center" vertical="center"/>
      <protection locked="0"/>
    </xf>
    <xf numFmtId="5" fontId="0" fillId="5" borderId="5" xfId="1" applyNumberFormat="1" applyFont="1" applyFill="1" applyBorder="1" applyAlignment="1" applyProtection="1">
      <alignment horizontal="center" vertical="center"/>
      <protection locked="0"/>
    </xf>
    <xf numFmtId="10" fontId="0" fillId="5" borderId="6" xfId="2" applyNumberFormat="1" applyFont="1" applyFill="1" applyBorder="1" applyAlignment="1" applyProtection="1">
      <alignment horizontal="center" vertical="center"/>
      <protection locked="0"/>
    </xf>
    <xf numFmtId="5" fontId="0" fillId="0" borderId="5" xfId="1" applyNumberFormat="1" applyFont="1" applyBorder="1" applyAlignment="1" applyProtection="1">
      <alignment horizontal="center" vertical="center"/>
      <protection locked="0"/>
    </xf>
    <xf numFmtId="10" fontId="0" fillId="0" borderId="6" xfId="2" applyNumberFormat="1" applyFont="1" applyBorder="1" applyAlignment="1" applyProtection="1">
      <alignment horizontal="center" vertical="center"/>
      <protection locked="0"/>
    </xf>
    <xf numFmtId="5" fontId="0" fillId="5" borderId="5" xfId="1" quotePrefix="1" applyNumberFormat="1" applyFont="1" applyFill="1" applyBorder="1" applyAlignment="1" applyProtection="1">
      <alignment horizontal="center" vertical="center"/>
      <protection locked="0"/>
    </xf>
    <xf numFmtId="5" fontId="0" fillId="5" borderId="8" xfId="1" applyNumberFormat="1" applyFont="1" applyFill="1" applyBorder="1" applyAlignment="1" applyProtection="1">
      <alignment horizontal="center" vertical="center"/>
      <protection locked="0"/>
    </xf>
    <xf numFmtId="10" fontId="0" fillId="5" borderId="9" xfId="2" applyNumberFormat="1" applyFont="1" applyFill="1" applyBorder="1" applyAlignment="1" applyProtection="1">
      <alignment horizontal="center" vertical="center"/>
      <protection locked="0"/>
    </xf>
    <xf numFmtId="167" fontId="0" fillId="0" borderId="10" xfId="0" applyNumberFormat="1" applyFont="1" applyBorder="1" applyAlignment="1" applyProtection="1">
      <alignment horizontal="center"/>
      <protection locked="0"/>
    </xf>
    <xf numFmtId="167" fontId="0" fillId="0" borderId="47" xfId="0" applyNumberFormat="1" applyFont="1" applyBorder="1" applyAlignment="1" applyProtection="1">
      <alignment horizontal="center"/>
      <protection locked="0"/>
    </xf>
    <xf numFmtId="166" fontId="0" fillId="0" borderId="52" xfId="2" applyNumberFormat="1" applyFont="1" applyBorder="1" applyAlignment="1" applyProtection="1">
      <alignment horizontal="center"/>
      <protection locked="0"/>
    </xf>
    <xf numFmtId="167" fontId="0" fillId="5" borderId="4" xfId="0" applyNumberFormat="1" applyFont="1" applyFill="1" applyBorder="1" applyAlignment="1" applyProtection="1">
      <alignment horizontal="center"/>
      <protection locked="0"/>
    </xf>
    <xf numFmtId="167" fontId="0" fillId="5" borderId="23" xfId="0" applyNumberFormat="1" applyFont="1" applyFill="1" applyBorder="1" applyAlignment="1" applyProtection="1">
      <alignment horizontal="center"/>
      <protection locked="0"/>
    </xf>
    <xf numFmtId="166" fontId="0" fillId="5" borderId="5" xfId="2" applyNumberFormat="1" applyFont="1" applyFill="1" applyBorder="1" applyAlignment="1" applyProtection="1">
      <alignment horizontal="center"/>
      <protection locked="0"/>
    </xf>
    <xf numFmtId="167" fontId="0" fillId="0" borderId="4" xfId="0" applyNumberFormat="1" applyFont="1" applyBorder="1" applyAlignment="1" applyProtection="1">
      <alignment horizontal="center"/>
      <protection locked="0"/>
    </xf>
    <xf numFmtId="167" fontId="0" fillId="0" borderId="23" xfId="0" applyNumberFormat="1" applyFont="1" applyBorder="1" applyAlignment="1" applyProtection="1">
      <alignment horizontal="center"/>
      <protection locked="0"/>
    </xf>
    <xf numFmtId="166" fontId="0" fillId="0" borderId="5" xfId="2" applyNumberFormat="1" applyFont="1" applyBorder="1" applyAlignment="1" applyProtection="1">
      <alignment horizontal="center"/>
      <protection locked="0"/>
    </xf>
    <xf numFmtId="167" fontId="0" fillId="0" borderId="4" xfId="0" applyNumberFormat="1" applyFont="1" applyFill="1" applyBorder="1" applyAlignment="1" applyProtection="1">
      <alignment horizontal="center"/>
      <protection locked="0"/>
    </xf>
    <xf numFmtId="167" fontId="0" fillId="0" borderId="23" xfId="0" applyNumberFormat="1" applyFont="1" applyFill="1" applyBorder="1" applyAlignment="1" applyProtection="1">
      <alignment horizontal="center"/>
      <protection locked="0"/>
    </xf>
    <xf numFmtId="166" fontId="0" fillId="0" borderId="5" xfId="2" applyNumberFormat="1" applyFont="1" applyFill="1" applyBorder="1" applyAlignment="1" applyProtection="1">
      <alignment horizontal="center"/>
      <protection locked="0"/>
    </xf>
    <xf numFmtId="167" fontId="0" fillId="5" borderId="7" xfId="0" applyNumberFormat="1" applyFont="1" applyFill="1" applyBorder="1" applyAlignment="1" applyProtection="1">
      <alignment horizontal="center"/>
      <protection locked="0"/>
    </xf>
    <xf numFmtId="167" fontId="0" fillId="5" borderId="25" xfId="0" applyNumberFormat="1" applyFont="1" applyFill="1" applyBorder="1" applyAlignment="1" applyProtection="1">
      <alignment horizontal="center"/>
      <protection locked="0"/>
    </xf>
    <xf numFmtId="166" fontId="0" fillId="5" borderId="8" xfId="2" applyNumberFormat="1" applyFont="1" applyFill="1" applyBorder="1" applyAlignment="1" applyProtection="1">
      <alignment horizontal="center"/>
      <protection locked="0"/>
    </xf>
    <xf numFmtId="0" fontId="0" fillId="0" borderId="51" xfId="0" applyBorder="1" applyAlignment="1" applyProtection="1">
      <alignment horizontal="center" vertical="center"/>
      <protection locked="0"/>
    </xf>
    <xf numFmtId="166" fontId="0" fillId="0" borderId="3" xfId="2" applyNumberFormat="1" applyFont="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166" fontId="0" fillId="5" borderId="6" xfId="2" applyNumberFormat="1"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166" fontId="0" fillId="0" borderId="6" xfId="2" applyNumberFormat="1" applyFont="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166" fontId="0" fillId="5" borderId="9" xfId="2" applyNumberFormat="1" applyFont="1" applyFill="1" applyBorder="1" applyAlignment="1" applyProtection="1">
      <alignment horizontal="center" vertical="center"/>
      <protection locked="0"/>
    </xf>
    <xf numFmtId="10" fontId="11" fillId="3" borderId="2" xfId="2" applyNumberFormat="1" applyFont="1" applyFill="1" applyBorder="1" applyAlignment="1" applyProtection="1">
      <alignment horizontal="center"/>
      <protection locked="0"/>
    </xf>
    <xf numFmtId="166" fontId="11" fillId="3" borderId="2" xfId="2" applyNumberFormat="1" applyFont="1" applyFill="1" applyBorder="1" applyAlignment="1" applyProtection="1">
      <alignment horizontal="center"/>
      <protection locked="0"/>
    </xf>
    <xf numFmtId="169" fontId="5" fillId="0" borderId="34" xfId="0" applyNumberFormat="1" applyFont="1" applyFill="1" applyBorder="1" applyAlignment="1" applyProtection="1">
      <alignment horizontal="center" vertical="center"/>
      <protection locked="0"/>
    </xf>
    <xf numFmtId="169" fontId="5" fillId="0" borderId="11" xfId="0" applyNumberFormat="1" applyFont="1" applyFill="1" applyBorder="1" applyAlignment="1" applyProtection="1">
      <alignment horizontal="center" vertical="center"/>
      <protection locked="0"/>
    </xf>
    <xf numFmtId="169" fontId="5" fillId="5" borderId="34" xfId="0" applyNumberFormat="1" applyFont="1" applyFill="1" applyBorder="1" applyAlignment="1" applyProtection="1">
      <alignment horizontal="center" vertical="center"/>
      <protection locked="0"/>
    </xf>
    <xf numFmtId="169" fontId="5" fillId="5" borderId="11" xfId="0" applyNumberFormat="1" applyFont="1" applyFill="1" applyBorder="1" applyAlignment="1" applyProtection="1">
      <alignment horizontal="center" vertical="center"/>
      <protection locked="0"/>
    </xf>
    <xf numFmtId="169" fontId="5" fillId="0" borderId="28" xfId="0" applyNumberFormat="1" applyFont="1" applyFill="1" applyBorder="1" applyAlignment="1" applyProtection="1">
      <alignment horizontal="center" vertical="center"/>
      <protection locked="0"/>
    </xf>
    <xf numFmtId="169" fontId="5" fillId="0" borderId="8" xfId="0" applyNumberFormat="1" applyFont="1" applyFill="1" applyBorder="1" applyAlignment="1" applyProtection="1">
      <alignment horizontal="center" vertical="center"/>
      <protection locked="0"/>
    </xf>
    <xf numFmtId="169" fontId="27" fillId="0" borderId="4" xfId="0" applyNumberFormat="1" applyFont="1" applyFill="1" applyBorder="1" applyAlignment="1" applyProtection="1">
      <alignment horizontal="center" vertical="center"/>
      <protection locked="0"/>
    </xf>
    <xf numFmtId="169" fontId="27" fillId="0" borderId="5" xfId="0" applyNumberFormat="1" applyFont="1" applyFill="1" applyBorder="1" applyAlignment="1" applyProtection="1">
      <alignment horizontal="center" vertical="center"/>
      <protection locked="0"/>
    </xf>
    <xf numFmtId="169" fontId="27" fillId="0" borderId="6" xfId="0" applyNumberFormat="1" applyFont="1" applyFill="1" applyBorder="1" applyAlignment="1" applyProtection="1">
      <alignment horizontal="center" vertical="center"/>
      <protection locked="0"/>
    </xf>
    <xf numFmtId="169" fontId="27" fillId="0" borderId="7" xfId="0" applyNumberFormat="1" applyFont="1" applyFill="1" applyBorder="1" applyAlignment="1" applyProtection="1">
      <alignment horizontal="center" vertical="center"/>
      <protection locked="0"/>
    </xf>
    <xf numFmtId="169" fontId="27" fillId="0" borderId="8" xfId="0" applyNumberFormat="1" applyFont="1" applyFill="1" applyBorder="1" applyAlignment="1" applyProtection="1">
      <alignment horizontal="center" vertical="center"/>
      <protection locked="0"/>
    </xf>
    <xf numFmtId="169" fontId="27" fillId="0" borderId="9" xfId="0" applyNumberFormat="1" applyFont="1" applyFill="1" applyBorder="1" applyAlignment="1" applyProtection="1">
      <alignment horizontal="center" vertical="center"/>
      <protection locked="0"/>
    </xf>
    <xf numFmtId="169" fontId="27" fillId="0" borderId="10" xfId="0" applyNumberFormat="1" applyFont="1" applyFill="1" applyBorder="1" applyAlignment="1" applyProtection="1">
      <alignment horizontal="center" vertical="center"/>
      <protection locked="0"/>
    </xf>
    <xf numFmtId="169" fontId="27" fillId="0" borderId="11" xfId="0" applyNumberFormat="1" applyFont="1" applyFill="1" applyBorder="1" applyAlignment="1" applyProtection="1">
      <alignment horizontal="center" vertical="center"/>
      <protection locked="0"/>
    </xf>
    <xf numFmtId="169" fontId="27" fillId="0" borderId="12" xfId="0" applyNumberFormat="1" applyFont="1" applyFill="1" applyBorder="1" applyAlignment="1" applyProtection="1">
      <alignment horizontal="center" vertical="center"/>
      <protection locked="0"/>
    </xf>
    <xf numFmtId="169" fontId="27" fillId="0" borderId="4" xfId="0" applyNumberFormat="1" applyFont="1" applyFill="1" applyBorder="1" applyAlignment="1" applyProtection="1">
      <alignment horizontal="center" vertical="center" wrapText="1"/>
      <protection locked="0"/>
    </xf>
    <xf numFmtId="169" fontId="27" fillId="0" borderId="5" xfId="0" applyNumberFormat="1" applyFont="1" applyFill="1" applyBorder="1" applyAlignment="1" applyProtection="1">
      <alignment horizontal="center" vertical="center" wrapText="1"/>
      <protection locked="0"/>
    </xf>
    <xf numFmtId="169" fontId="0" fillId="0" borderId="6" xfId="0" applyNumberFormat="1" applyFill="1" applyBorder="1" applyAlignment="1" applyProtection="1">
      <alignment horizontal="center" vertical="center"/>
      <protection locked="0"/>
    </xf>
    <xf numFmtId="169" fontId="0" fillId="0" borderId="5" xfId="0" applyNumberFormat="1" applyFill="1" applyBorder="1" applyAlignment="1" applyProtection="1">
      <alignment horizontal="center" vertical="center"/>
      <protection locked="0"/>
    </xf>
    <xf numFmtId="169" fontId="17" fillId="0" borderId="4" xfId="0" applyNumberFormat="1" applyFont="1" applyFill="1" applyBorder="1" applyAlignment="1" applyProtection="1">
      <alignment horizontal="center" vertical="center"/>
      <protection locked="0"/>
    </xf>
    <xf numFmtId="169" fontId="0" fillId="0" borderId="4" xfId="0" applyNumberFormat="1" applyFill="1" applyBorder="1" applyAlignment="1" applyProtection="1">
      <alignment horizontal="center" vertical="center"/>
      <protection locked="0"/>
    </xf>
    <xf numFmtId="169" fontId="0" fillId="0" borderId="4" xfId="0" applyNumberFormat="1" applyBorder="1" applyAlignment="1" applyProtection="1">
      <alignment horizontal="center" vertical="center"/>
      <protection locked="0"/>
    </xf>
    <xf numFmtId="169" fontId="0" fillId="0" borderId="10" xfId="0" applyNumberFormat="1" applyBorder="1" applyAlignment="1" applyProtection="1">
      <alignment horizontal="center" vertical="center"/>
      <protection locked="0"/>
    </xf>
    <xf numFmtId="169" fontId="0" fillId="0" borderId="11" xfId="0" applyNumberFormat="1" applyFill="1" applyBorder="1" applyAlignment="1" applyProtection="1">
      <alignment horizontal="center" vertical="center"/>
      <protection locked="0"/>
    </xf>
    <xf numFmtId="169" fontId="0" fillId="0" borderId="12" xfId="0" applyNumberFormat="1" applyFill="1" applyBorder="1" applyAlignment="1" applyProtection="1">
      <alignment horizontal="center" vertical="center"/>
      <protection locked="0"/>
    </xf>
    <xf numFmtId="169" fontId="0" fillId="0" borderId="69" xfId="0" applyNumberFormat="1" applyBorder="1" applyAlignment="1" applyProtection="1">
      <alignment horizontal="center" vertical="center"/>
      <protection locked="0"/>
    </xf>
    <xf numFmtId="169" fontId="0" fillId="0" borderId="70" xfId="0" applyNumberFormat="1" applyFill="1" applyBorder="1" applyAlignment="1" applyProtection="1">
      <alignment horizontal="center" vertical="center"/>
      <protection locked="0"/>
    </xf>
    <xf numFmtId="169" fontId="0" fillId="0" borderId="71" xfId="0" applyNumberFormat="1" applyFill="1" applyBorder="1" applyAlignment="1" applyProtection="1">
      <alignment horizontal="center" vertical="center"/>
      <protection locked="0"/>
    </xf>
    <xf numFmtId="169" fontId="0" fillId="0" borderId="7" xfId="0" applyNumberFormat="1" applyBorder="1" applyAlignment="1" applyProtection="1">
      <alignment horizontal="center" vertical="center"/>
      <protection locked="0"/>
    </xf>
    <xf numFmtId="169" fontId="0" fillId="0" borderId="8" xfId="0" applyNumberFormat="1" applyFill="1" applyBorder="1" applyAlignment="1" applyProtection="1">
      <alignment horizontal="center" vertical="center"/>
      <protection locked="0"/>
    </xf>
    <xf numFmtId="169" fontId="0" fillId="0" borderId="9" xfId="0" applyNumberFormat="1" applyFill="1" applyBorder="1" applyAlignment="1" applyProtection="1">
      <alignment horizontal="center" vertical="center"/>
      <protection locked="0"/>
    </xf>
    <xf numFmtId="166" fontId="0" fillId="0" borderId="12" xfId="2" applyNumberFormat="1" applyFont="1" applyBorder="1" applyAlignment="1" applyProtection="1">
      <alignment horizontal="center"/>
      <protection locked="0"/>
    </xf>
    <xf numFmtId="166" fontId="0" fillId="5" borderId="6" xfId="2" applyNumberFormat="1" applyFont="1" applyFill="1" applyBorder="1" applyAlignment="1" applyProtection="1">
      <alignment horizontal="center"/>
      <protection locked="0"/>
    </xf>
    <xf numFmtId="166" fontId="0" fillId="0" borderId="6" xfId="2" applyNumberFormat="1" applyFont="1" applyBorder="1" applyAlignment="1" applyProtection="1">
      <alignment horizontal="center"/>
      <protection locked="0"/>
    </xf>
    <xf numFmtId="166" fontId="0" fillId="5" borderId="9" xfId="2" applyNumberFormat="1" applyFont="1" applyFill="1" applyBorder="1" applyAlignment="1" applyProtection="1">
      <alignment horizontal="center"/>
      <protection locked="0"/>
    </xf>
    <xf numFmtId="164" fontId="6" fillId="0" borderId="11" xfId="0" applyNumberFormat="1" applyFont="1" applyFill="1" applyBorder="1" applyAlignment="1" applyProtection="1">
      <alignment horizontal="center" vertical="center"/>
      <protection locked="0"/>
    </xf>
    <xf numFmtId="164" fontId="6" fillId="5" borderId="5" xfId="0" applyNumberFormat="1" applyFont="1" applyFill="1" applyBorder="1" applyAlignment="1" applyProtection="1">
      <alignment horizontal="center" vertical="center"/>
      <protection locked="0"/>
    </xf>
    <xf numFmtId="164" fontId="6" fillId="0" borderId="5" xfId="0" applyNumberFormat="1" applyFont="1" applyFill="1" applyBorder="1" applyAlignment="1" applyProtection="1">
      <alignment horizontal="center" vertical="center"/>
      <protection locked="0"/>
    </xf>
    <xf numFmtId="164" fontId="6" fillId="0" borderId="8" xfId="0" applyNumberFormat="1" applyFont="1" applyFill="1" applyBorder="1" applyAlignment="1" applyProtection="1">
      <alignment horizontal="center" vertical="center"/>
      <protection locked="0"/>
    </xf>
    <xf numFmtId="0" fontId="0" fillId="0" borderId="0" xfId="0" applyFont="1" applyProtection="1">
      <protection locked="0"/>
    </xf>
    <xf numFmtId="37" fontId="0" fillId="0" borderId="34" xfId="3" applyNumberFormat="1" applyFont="1" applyFill="1" applyBorder="1" applyAlignment="1" applyProtection="1">
      <alignment horizontal="center" vertical="center"/>
      <protection locked="0"/>
    </xf>
    <xf numFmtId="5" fontId="0" fillId="0" borderId="12" xfId="3" applyNumberFormat="1" applyFont="1" applyFill="1" applyBorder="1" applyAlignment="1" applyProtection="1">
      <alignment horizontal="center" vertical="center"/>
      <protection locked="0"/>
    </xf>
    <xf numFmtId="37" fontId="0" fillId="5" borderId="27" xfId="3" applyNumberFormat="1" applyFont="1" applyFill="1" applyBorder="1" applyAlignment="1" applyProtection="1">
      <alignment horizontal="center" vertical="center"/>
      <protection locked="0"/>
    </xf>
    <xf numFmtId="5" fontId="0" fillId="5" borderId="6" xfId="3" applyNumberFormat="1" applyFont="1" applyFill="1" applyBorder="1" applyAlignment="1" applyProtection="1">
      <alignment horizontal="center" vertical="center"/>
      <protection locked="0"/>
    </xf>
    <xf numFmtId="37" fontId="0" fillId="0" borderId="27" xfId="3" applyNumberFormat="1" applyFont="1" applyFill="1" applyBorder="1" applyAlignment="1" applyProtection="1">
      <alignment horizontal="center" vertical="center"/>
      <protection locked="0"/>
    </xf>
    <xf numFmtId="5" fontId="0" fillId="0" borderId="6" xfId="3" applyNumberFormat="1" applyFont="1" applyFill="1" applyBorder="1" applyAlignment="1" applyProtection="1">
      <alignment horizontal="center" vertical="center"/>
      <protection locked="0"/>
    </xf>
    <xf numFmtId="37" fontId="0" fillId="0" borderId="4" xfId="3" applyNumberFormat="1" applyFont="1" applyFill="1" applyBorder="1" applyAlignment="1" applyProtection="1">
      <alignment horizontal="center" vertical="center"/>
      <protection locked="0"/>
    </xf>
    <xf numFmtId="37" fontId="0" fillId="5" borderId="7" xfId="3" applyNumberFormat="1" applyFont="1" applyFill="1" applyBorder="1" applyAlignment="1" applyProtection="1">
      <alignment horizontal="center" vertical="center"/>
      <protection locked="0"/>
    </xf>
    <xf numFmtId="5" fontId="0" fillId="5" borderId="9" xfId="3" applyNumberFormat="1" applyFont="1" applyFill="1" applyBorder="1" applyAlignment="1" applyProtection="1">
      <alignment horizontal="center" vertical="center"/>
      <protection locked="0"/>
    </xf>
    <xf numFmtId="166" fontId="3" fillId="0" borderId="12" xfId="2" applyNumberFormat="1" applyFont="1" applyFill="1" applyBorder="1" applyAlignment="1" applyProtection="1">
      <alignment horizontal="center"/>
      <protection locked="0"/>
    </xf>
    <xf numFmtId="166" fontId="3" fillId="0" borderId="9" xfId="2" applyNumberFormat="1" applyFont="1" applyFill="1" applyBorder="1" applyAlignment="1" applyProtection="1">
      <alignment horizontal="center"/>
      <protection locked="0"/>
    </xf>
    <xf numFmtId="0" fontId="0" fillId="0" borderId="0" xfId="0" applyAlignment="1" applyProtection="1">
      <alignment horizontal="center"/>
      <protection locked="0"/>
    </xf>
    <xf numFmtId="3" fontId="0" fillId="0" borderId="34" xfId="0" applyNumberFormat="1" applyFill="1" applyBorder="1" applyAlignment="1" applyProtection="1">
      <alignment horizontal="center"/>
      <protection locked="0"/>
    </xf>
    <xf numFmtId="3" fontId="0" fillId="0" borderId="11" xfId="0" applyNumberFormat="1" applyFill="1" applyBorder="1" applyAlignment="1" applyProtection="1">
      <alignment horizontal="center"/>
      <protection locked="0"/>
    </xf>
    <xf numFmtId="3" fontId="0" fillId="0" borderId="3" xfId="0" applyNumberFormat="1" applyFill="1" applyBorder="1" applyAlignment="1" applyProtection="1">
      <alignment horizontal="center"/>
      <protection locked="0"/>
    </xf>
    <xf numFmtId="3" fontId="0" fillId="5" borderId="27" xfId="0" applyNumberFormat="1" applyFill="1" applyBorder="1" applyAlignment="1" applyProtection="1">
      <alignment horizontal="center"/>
      <protection locked="0"/>
    </xf>
    <xf numFmtId="3" fontId="0" fillId="5" borderId="5" xfId="0" applyNumberFormat="1" applyFill="1" applyBorder="1" applyAlignment="1" applyProtection="1">
      <alignment horizontal="center"/>
      <protection locked="0"/>
    </xf>
    <xf numFmtId="0" fontId="0" fillId="6" borderId="46" xfId="0" applyFill="1" applyBorder="1" applyAlignment="1" applyProtection="1">
      <alignment horizontal="center"/>
      <protection locked="0"/>
    </xf>
    <xf numFmtId="3" fontId="0" fillId="0" borderId="27" xfId="0" applyNumberFormat="1" applyFill="1" applyBorder="1" applyAlignment="1" applyProtection="1">
      <alignment horizontal="center"/>
      <protection locked="0"/>
    </xf>
    <xf numFmtId="3" fontId="0" fillId="0" borderId="5" xfId="0" applyNumberFormat="1" applyFill="1" applyBorder="1" applyAlignment="1" applyProtection="1">
      <alignment horizontal="center"/>
      <protection locked="0"/>
    </xf>
    <xf numFmtId="0" fontId="0" fillId="6" borderId="0" xfId="0" applyFill="1" applyBorder="1" applyAlignment="1" applyProtection="1">
      <alignment horizontal="center"/>
      <protection locked="0"/>
    </xf>
    <xf numFmtId="3" fontId="0" fillId="5" borderId="7" xfId="0" applyNumberFormat="1"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6" borderId="45" xfId="0" applyFill="1" applyBorder="1" applyAlignment="1" applyProtection="1">
      <alignment horizontal="center"/>
      <protection locked="0"/>
    </xf>
    <xf numFmtId="164" fontId="0" fillId="0" borderId="16" xfId="0" applyNumberFormat="1" applyBorder="1" applyAlignment="1" applyProtection="1">
      <alignment horizontal="center"/>
      <protection locked="0"/>
    </xf>
    <xf numFmtId="164" fontId="0" fillId="0" borderId="17" xfId="0" applyNumberFormat="1" applyBorder="1" applyAlignment="1" applyProtection="1">
      <alignment horizontal="center"/>
      <protection locked="0"/>
    </xf>
    <xf numFmtId="37" fontId="0" fillId="0" borderId="34" xfId="3" applyNumberFormat="1" applyFont="1" applyFill="1" applyBorder="1" applyAlignment="1" applyProtection="1">
      <alignment horizontal="center"/>
      <protection locked="0"/>
    </xf>
    <xf numFmtId="37" fontId="0" fillId="0" borderId="11" xfId="3" applyNumberFormat="1" applyFont="1" applyFill="1" applyBorder="1" applyAlignment="1" applyProtection="1">
      <alignment horizontal="center"/>
      <protection locked="0"/>
    </xf>
    <xf numFmtId="5" fontId="0" fillId="0" borderId="12" xfId="3" applyNumberFormat="1" applyFont="1" applyFill="1" applyBorder="1" applyAlignment="1" applyProtection="1">
      <alignment horizontal="center"/>
      <protection locked="0"/>
    </xf>
    <xf numFmtId="37" fontId="0" fillId="5" borderId="27" xfId="3" applyNumberFormat="1" applyFont="1" applyFill="1" applyBorder="1" applyAlignment="1" applyProtection="1">
      <alignment horizontal="center"/>
      <protection locked="0"/>
    </xf>
    <xf numFmtId="37" fontId="0" fillId="5" borderId="5" xfId="3" applyNumberFormat="1" applyFont="1" applyFill="1" applyBorder="1" applyAlignment="1" applyProtection="1">
      <alignment horizontal="center"/>
      <protection locked="0"/>
    </xf>
    <xf numFmtId="5" fontId="0" fillId="5" borderId="6" xfId="3" applyNumberFormat="1" applyFont="1" applyFill="1" applyBorder="1" applyAlignment="1" applyProtection="1">
      <alignment horizontal="center"/>
      <protection locked="0"/>
    </xf>
    <xf numFmtId="37" fontId="0" fillId="0" borderId="27" xfId="3" applyNumberFormat="1" applyFont="1" applyFill="1" applyBorder="1" applyAlignment="1" applyProtection="1">
      <alignment horizontal="center"/>
      <protection locked="0"/>
    </xf>
    <xf numFmtId="37" fontId="0" fillId="0" borderId="5" xfId="3" applyNumberFormat="1" applyFont="1" applyFill="1" applyBorder="1" applyAlignment="1" applyProtection="1">
      <alignment horizontal="center"/>
      <protection locked="0"/>
    </xf>
    <xf numFmtId="5" fontId="0" fillId="0" borderId="6" xfId="3" applyNumberFormat="1" applyFont="1" applyFill="1" applyBorder="1" applyAlignment="1" applyProtection="1">
      <alignment horizontal="center"/>
      <protection locked="0"/>
    </xf>
    <xf numFmtId="37" fontId="0" fillId="5" borderId="28" xfId="3" applyNumberFormat="1" applyFont="1" applyFill="1" applyBorder="1" applyAlignment="1" applyProtection="1">
      <alignment horizontal="center"/>
      <protection locked="0"/>
    </xf>
    <xf numFmtId="37" fontId="0" fillId="5" borderId="8" xfId="3" applyNumberFormat="1" applyFont="1" applyFill="1" applyBorder="1" applyAlignment="1" applyProtection="1">
      <alignment horizontal="center"/>
      <protection locked="0"/>
    </xf>
    <xf numFmtId="5" fontId="0" fillId="5" borderId="9" xfId="3" applyNumberFormat="1" applyFont="1" applyFill="1" applyBorder="1" applyAlignment="1" applyProtection="1">
      <alignment horizontal="center"/>
      <protection locked="0"/>
    </xf>
    <xf numFmtId="166" fontId="3" fillId="0" borderId="34" xfId="2" applyNumberFormat="1" applyFont="1" applyFill="1" applyBorder="1" applyAlignment="1" applyProtection="1">
      <alignment horizontal="center"/>
      <protection locked="0"/>
    </xf>
    <xf numFmtId="166" fontId="3" fillId="0" borderId="11" xfId="2" applyNumberFormat="1" applyFont="1" applyFill="1" applyBorder="1" applyAlignment="1" applyProtection="1">
      <alignment horizontal="center"/>
      <protection locked="0"/>
    </xf>
    <xf numFmtId="166" fontId="3" fillId="0" borderId="28" xfId="2" applyNumberFormat="1" applyFont="1" applyFill="1" applyBorder="1" applyAlignment="1" applyProtection="1">
      <alignment horizontal="center"/>
      <protection locked="0"/>
    </xf>
    <xf numFmtId="166" fontId="3" fillId="0" borderId="8" xfId="2" applyNumberFormat="1" applyFont="1" applyFill="1" applyBorder="1" applyAlignment="1" applyProtection="1">
      <alignment horizontal="center"/>
      <protection locked="0"/>
    </xf>
    <xf numFmtId="0" fontId="0" fillId="0" borderId="52" xfId="0" applyBorder="1" applyAlignment="1" applyProtection="1">
      <alignment horizontal="center" vertical="center"/>
      <protection locked="0"/>
    </xf>
    <xf numFmtId="172" fontId="0" fillId="0" borderId="3" xfId="0" applyNumberFormat="1"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72" fontId="0" fillId="0" borderId="6" xfId="0" applyNumberFormat="1"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172" fontId="0" fillId="0" borderId="9" xfId="0" applyNumberFormat="1"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166" fontId="0" fillId="0" borderId="9" xfId="2" applyNumberFormat="1" applyFont="1" applyBorder="1" applyAlignment="1" applyProtection="1">
      <alignment horizontal="center" vertical="center"/>
      <protection locked="0"/>
    </xf>
    <xf numFmtId="166" fontId="0" fillId="0" borderId="50" xfId="2" applyNumberFormat="1" applyFont="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166" fontId="3" fillId="0" borderId="3" xfId="2" applyNumberFormat="1" applyFont="1" applyBorder="1" applyAlignment="1" applyProtection="1">
      <alignment horizontal="center" vertical="center"/>
      <protection locked="0"/>
    </xf>
    <xf numFmtId="166" fontId="3" fillId="0" borderId="9" xfId="2" applyNumberFormat="1" applyFont="1" applyBorder="1" applyAlignment="1" applyProtection="1">
      <alignment horizontal="center" vertical="center"/>
      <protection locked="0"/>
    </xf>
    <xf numFmtId="166" fontId="3" fillId="0" borderId="2" xfId="2" applyNumberFormat="1" applyFont="1" applyFill="1" applyBorder="1" applyAlignment="1" applyProtection="1">
      <alignment horizontal="center" vertical="center"/>
      <protection locked="0"/>
    </xf>
    <xf numFmtId="166" fontId="0" fillId="5" borderId="50" xfId="0" applyNumberFormat="1" applyFont="1" applyFill="1" applyBorder="1" applyAlignment="1" applyProtection="1">
      <alignment horizontal="center" vertical="center"/>
      <protection locked="0"/>
    </xf>
    <xf numFmtId="166" fontId="0" fillId="5" borderId="14" xfId="0" applyNumberFormat="1" applyFont="1" applyFill="1" applyBorder="1" applyAlignment="1" applyProtection="1">
      <alignment horizontal="center" vertical="center"/>
      <protection locked="0"/>
    </xf>
    <xf numFmtId="169" fontId="0" fillId="5" borderId="4" xfId="0" applyNumberFormat="1" applyFill="1" applyBorder="1" applyAlignment="1" applyProtection="1">
      <alignment horizontal="center" vertical="center"/>
      <protection locked="0"/>
    </xf>
    <xf numFmtId="169" fontId="0" fillId="5" borderId="5" xfId="0" applyNumberFormat="1" applyFill="1" applyBorder="1" applyAlignment="1" applyProtection="1">
      <alignment horizontal="center" vertical="center"/>
      <protection locked="0"/>
    </xf>
    <xf numFmtId="169" fontId="0" fillId="5" borderId="6" xfId="0" applyNumberForma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21" fillId="0" borderId="0" xfId="0" applyFont="1" applyAlignment="1">
      <alignment horizontal="left" vertical="top"/>
    </xf>
    <xf numFmtId="169" fontId="0" fillId="5" borderId="6" xfId="0" applyNumberFormat="1" applyFill="1" applyBorder="1" applyAlignment="1" applyProtection="1">
      <alignment horizontal="center"/>
      <protection locked="0"/>
    </xf>
    <xf numFmtId="169" fontId="0" fillId="0" borderId="3" xfId="0" applyNumberFormat="1" applyFill="1" applyBorder="1" applyAlignment="1" applyProtection="1">
      <alignment horizontal="center"/>
      <protection locked="0"/>
    </xf>
    <xf numFmtId="169" fontId="0" fillId="0" borderId="6" xfId="0" applyNumberFormat="1" applyFill="1" applyBorder="1" applyAlignment="1" applyProtection="1">
      <alignment horizontal="center"/>
      <protection locked="0"/>
    </xf>
    <xf numFmtId="166" fontId="0" fillId="0" borderId="9" xfId="2" applyNumberFormat="1" applyFont="1" applyFill="1" applyBorder="1" applyAlignment="1" applyProtection="1">
      <alignment horizontal="center"/>
      <protection locked="0"/>
    </xf>
    <xf numFmtId="166" fontId="0" fillId="0" borderId="3" xfId="2" applyNumberFormat="1" applyFont="1" applyFill="1" applyBorder="1" applyAlignment="1" applyProtection="1">
      <alignment horizontal="center"/>
      <protection locked="0"/>
    </xf>
    <xf numFmtId="164" fontId="2" fillId="5" borderId="6" xfId="2" applyNumberFormat="1" applyFont="1" applyFill="1" applyBorder="1" applyAlignment="1" applyProtection="1">
      <alignment horizontal="center"/>
      <protection locked="0"/>
    </xf>
    <xf numFmtId="166" fontId="2" fillId="5" borderId="6" xfId="2" applyNumberFormat="1" applyFont="1" applyFill="1" applyBorder="1" applyAlignment="1" applyProtection="1">
      <alignment horizontal="center" vertical="top"/>
      <protection locked="0"/>
    </xf>
    <xf numFmtId="10" fontId="0" fillId="0" borderId="6" xfId="2" applyNumberFormat="1" applyFont="1" applyFill="1" applyBorder="1" applyAlignment="1" applyProtection="1">
      <alignment horizontal="center"/>
      <protection locked="0"/>
    </xf>
    <xf numFmtId="5" fontId="2" fillId="5" borderId="6" xfId="2" applyNumberFormat="1" applyFont="1" applyFill="1" applyBorder="1" applyAlignment="1" applyProtection="1">
      <alignment horizontal="center"/>
      <protection locked="0"/>
    </xf>
    <xf numFmtId="5" fontId="2" fillId="0" borderId="6" xfId="1" applyNumberFormat="1" applyFont="1" applyFill="1" applyBorder="1" applyAlignment="1" applyProtection="1">
      <alignment horizontal="center"/>
      <protection locked="0"/>
    </xf>
    <xf numFmtId="176" fontId="2" fillId="5" borderId="6" xfId="2" applyNumberFormat="1" applyFont="1" applyFill="1" applyBorder="1" applyAlignment="1" applyProtection="1">
      <alignment horizontal="center"/>
      <protection locked="0"/>
    </xf>
    <xf numFmtId="166" fontId="0" fillId="0" borderId="6" xfId="2" applyNumberFormat="1" applyFont="1" applyFill="1" applyBorder="1" applyAlignment="1" applyProtection="1">
      <alignment horizontal="center" vertical="top"/>
      <protection locked="0"/>
    </xf>
    <xf numFmtId="166" fontId="0" fillId="0" borderId="6" xfId="2" applyNumberFormat="1" applyFont="1" applyFill="1" applyBorder="1" applyAlignment="1" applyProtection="1">
      <alignment horizontal="center"/>
      <protection locked="0"/>
    </xf>
    <xf numFmtId="166" fontId="3" fillId="0" borderId="50" xfId="2" applyNumberFormat="1" applyFont="1" applyBorder="1" applyAlignment="1" applyProtection="1">
      <alignment horizontal="center"/>
      <protection locked="0"/>
    </xf>
    <xf numFmtId="3" fontId="0" fillId="5" borderId="6" xfId="0" applyNumberFormat="1" applyFill="1" applyBorder="1" applyAlignment="1" applyProtection="1">
      <alignment horizontal="center"/>
      <protection locked="0"/>
    </xf>
    <xf numFmtId="166" fontId="3" fillId="0" borderId="6" xfId="2" applyNumberFormat="1" applyFont="1" applyFill="1" applyBorder="1" applyAlignment="1" applyProtection="1">
      <alignment horizontal="center"/>
      <protection locked="0"/>
    </xf>
    <xf numFmtId="0" fontId="0" fillId="0" borderId="0" xfId="0" applyBorder="1" applyProtection="1">
      <protection locked="0"/>
    </xf>
    <xf numFmtId="0" fontId="0" fillId="0" borderId="0" xfId="0" applyProtection="1">
      <protection locked="0"/>
    </xf>
    <xf numFmtId="169" fontId="0" fillId="0" borderId="51" xfId="0" applyNumberFormat="1" applyBorder="1" applyAlignment="1" applyProtection="1">
      <alignment horizontal="center"/>
      <protection locked="0"/>
    </xf>
    <xf numFmtId="169" fontId="0" fillId="0" borderId="52" xfId="0" applyNumberFormat="1" applyBorder="1" applyAlignment="1" applyProtection="1">
      <alignment horizontal="center"/>
      <protection locked="0"/>
    </xf>
    <xf numFmtId="169" fontId="0" fillId="5" borderId="4" xfId="0" applyNumberFormat="1" applyFill="1" applyBorder="1" applyAlignment="1" applyProtection="1">
      <alignment horizontal="center"/>
      <protection locked="0"/>
    </xf>
    <xf numFmtId="169" fontId="0" fillId="5" borderId="5" xfId="0" applyNumberFormat="1" applyFill="1" applyBorder="1" applyAlignment="1" applyProtection="1">
      <alignment horizontal="center"/>
      <protection locked="0"/>
    </xf>
    <xf numFmtId="169" fontId="0" fillId="0" borderId="4" xfId="0" applyNumberFormat="1" applyBorder="1" applyAlignment="1" applyProtection="1">
      <alignment horizontal="center"/>
      <protection locked="0"/>
    </xf>
    <xf numFmtId="169" fontId="0" fillId="0" borderId="5" xfId="0" applyNumberFormat="1" applyBorder="1" applyAlignment="1" applyProtection="1">
      <alignment horizontal="center"/>
      <protection locked="0"/>
    </xf>
    <xf numFmtId="169" fontId="0" fillId="5" borderId="7" xfId="0" applyNumberFormat="1" applyFill="1" applyBorder="1" applyAlignment="1" applyProtection="1">
      <alignment horizontal="center"/>
      <protection locked="0"/>
    </xf>
    <xf numFmtId="169" fontId="0" fillId="5" borderId="8" xfId="0" applyNumberFormat="1" applyFill="1" applyBorder="1" applyAlignment="1" applyProtection="1">
      <alignment horizontal="center"/>
      <protection locked="0"/>
    </xf>
    <xf numFmtId="3" fontId="5" fillId="0" borderId="52" xfId="0" applyNumberFormat="1" applyFont="1" applyBorder="1" applyAlignment="1" applyProtection="1">
      <alignment horizontal="center"/>
      <protection locked="0"/>
    </xf>
    <xf numFmtId="3" fontId="5" fillId="5" borderId="5" xfId="0" applyNumberFormat="1" applyFont="1" applyFill="1" applyBorder="1" applyAlignment="1" applyProtection="1">
      <alignment horizontal="center"/>
      <protection locked="0"/>
    </xf>
    <xf numFmtId="3" fontId="5" fillId="0" borderId="5" xfId="0" applyNumberFormat="1" applyFont="1" applyBorder="1" applyAlignment="1" applyProtection="1">
      <alignment horizontal="center"/>
      <protection locked="0"/>
    </xf>
    <xf numFmtId="3" fontId="5" fillId="0" borderId="8" xfId="0" applyNumberFormat="1" applyFont="1" applyBorder="1" applyAlignment="1" applyProtection="1">
      <alignment horizontal="center"/>
      <protection locked="0"/>
    </xf>
    <xf numFmtId="166" fontId="27" fillId="0" borderId="54" xfId="46" applyNumberFormat="1" applyFont="1" applyFill="1" applyBorder="1" applyAlignment="1" applyProtection="1">
      <alignment horizontal="center"/>
      <protection locked="0"/>
    </xf>
    <xf numFmtId="166" fontId="27" fillId="0" borderId="49" xfId="46" applyNumberFormat="1" applyFont="1" applyFill="1" applyBorder="1" applyAlignment="1" applyProtection="1">
      <alignment horizontal="center"/>
      <protection locked="0"/>
    </xf>
    <xf numFmtId="166" fontId="27" fillId="0" borderId="31" xfId="46" applyNumberFormat="1" applyFont="1" applyFill="1" applyBorder="1" applyAlignment="1" applyProtection="1">
      <alignment horizontal="center"/>
      <protection locked="0"/>
    </xf>
    <xf numFmtId="166" fontId="27" fillId="0" borderId="20" xfId="46" applyNumberFormat="1" applyFont="1" applyFill="1" applyBorder="1" applyAlignment="1" applyProtection="1">
      <alignment horizontal="center"/>
      <protection locked="0"/>
    </xf>
    <xf numFmtId="166" fontId="27" fillId="0" borderId="22" xfId="46" applyNumberFormat="1" applyFont="1" applyFill="1" applyBorder="1" applyAlignment="1" applyProtection="1">
      <alignment horizontal="center"/>
      <protection locked="0"/>
    </xf>
    <xf numFmtId="166" fontId="27" fillId="0" borderId="24" xfId="46" applyNumberFormat="1" applyFont="1" applyFill="1" applyBorder="1" applyAlignment="1" applyProtection="1">
      <alignment horizontal="center"/>
      <protection locked="0"/>
    </xf>
    <xf numFmtId="166" fontId="36" fillId="0" borderId="54" xfId="48" applyNumberFormat="1" applyFont="1" applyFill="1" applyBorder="1" applyAlignment="1" applyProtection="1">
      <alignment horizontal="center"/>
      <protection locked="0"/>
    </xf>
    <xf numFmtId="166" fontId="36" fillId="0" borderId="20" xfId="48" applyNumberFormat="1" applyFont="1" applyFill="1" applyBorder="1" applyAlignment="1" applyProtection="1">
      <alignment horizontal="center"/>
      <protection locked="0"/>
    </xf>
    <xf numFmtId="166" fontId="36" fillId="0" borderId="22" xfId="48" applyNumberFormat="1" applyFont="1" applyFill="1" applyBorder="1" applyAlignment="1" applyProtection="1">
      <alignment horizontal="center"/>
      <protection locked="0"/>
    </xf>
    <xf numFmtId="166" fontId="36" fillId="0" borderId="24" xfId="48" applyNumberFormat="1" applyFont="1" applyFill="1" applyBorder="1" applyAlignment="1" applyProtection="1">
      <alignment horizontal="center"/>
      <protection locked="0"/>
    </xf>
    <xf numFmtId="166" fontId="36" fillId="0" borderId="31" xfId="48" applyNumberFormat="1" applyFont="1" applyFill="1" applyBorder="1" applyAlignment="1" applyProtection="1">
      <alignment horizontal="center"/>
      <protection locked="0"/>
    </xf>
    <xf numFmtId="166" fontId="36" fillId="0" borderId="49" xfId="48" applyNumberFormat="1" applyFont="1" applyFill="1" applyBorder="1" applyAlignment="1" applyProtection="1">
      <alignment horizontal="center"/>
      <protection locked="0"/>
    </xf>
    <xf numFmtId="166" fontId="36" fillId="0" borderId="59" xfId="48" applyNumberFormat="1" applyFont="1" applyFill="1" applyBorder="1" applyAlignment="1" applyProtection="1">
      <alignment horizontal="center"/>
      <protection locked="0"/>
    </xf>
    <xf numFmtId="37" fontId="5" fillId="0" borderId="40" xfId="3" applyNumberFormat="1" applyFont="1" applyBorder="1" applyAlignment="1">
      <alignment horizontal="center"/>
    </xf>
    <xf numFmtId="0" fontId="16" fillId="3" borderId="2" xfId="0" applyFont="1" applyFill="1" applyBorder="1" applyAlignment="1">
      <alignment horizontal="center" vertical="center" wrapText="1"/>
    </xf>
    <xf numFmtId="0" fontId="0" fillId="0" borderId="19" xfId="0" applyBorder="1"/>
    <xf numFmtId="0" fontId="0" fillId="0" borderId="48" xfId="0" applyBorder="1"/>
    <xf numFmtId="0" fontId="0" fillId="0" borderId="10" xfId="0" applyBorder="1" applyAlignment="1" applyProtection="1">
      <alignment horizontal="center" vertical="center"/>
      <protection locked="0"/>
    </xf>
    <xf numFmtId="0" fontId="0" fillId="5" borderId="69" xfId="0" applyFill="1" applyBorder="1" applyAlignment="1" applyProtection="1">
      <alignment horizontal="center" vertical="center"/>
      <protection locked="0"/>
    </xf>
    <xf numFmtId="166" fontId="3" fillId="0" borderId="0" xfId="2" applyNumberFormat="1" applyFont="1"/>
    <xf numFmtId="0" fontId="3" fillId="0" borderId="0" xfId="0" applyFont="1" applyFill="1" applyBorder="1" applyAlignment="1">
      <alignment horizontal="left"/>
    </xf>
    <xf numFmtId="0" fontId="3" fillId="0" borderId="0" xfId="0" applyFont="1" applyFill="1" applyBorder="1" applyAlignment="1">
      <alignment horizontal="center"/>
    </xf>
    <xf numFmtId="168" fontId="0" fillId="0" borderId="0" xfId="0" applyNumberFormat="1" applyBorder="1"/>
    <xf numFmtId="0" fontId="0" fillId="0" borderId="0" xfId="0" applyFill="1" applyBorder="1" applyAlignment="1">
      <alignment horizontal="left" vertical="center"/>
    </xf>
    <xf numFmtId="169" fontId="0" fillId="0" borderId="0" xfId="0" applyNumberFormat="1" applyBorder="1" applyAlignment="1" applyProtection="1">
      <alignment horizontal="center" vertical="center"/>
      <protection locked="0"/>
    </xf>
    <xf numFmtId="169" fontId="0" fillId="0" borderId="0" xfId="0" applyNumberFormat="1" applyFill="1" applyBorder="1" applyAlignment="1" applyProtection="1">
      <alignment horizontal="center" vertical="center"/>
      <protection locked="0"/>
    </xf>
    <xf numFmtId="164" fontId="0" fillId="5" borderId="69" xfId="0" applyNumberFormat="1" applyFill="1" applyBorder="1" applyAlignment="1">
      <alignment horizontal="center"/>
    </xf>
    <xf numFmtId="164" fontId="0" fillId="5" borderId="72" xfId="0" applyNumberFormat="1" applyFill="1" applyBorder="1" applyAlignment="1">
      <alignment horizontal="center"/>
    </xf>
    <xf numFmtId="164" fontId="0" fillId="5" borderId="70" xfId="0" applyNumberFormat="1" applyFill="1" applyBorder="1" applyAlignment="1">
      <alignment horizontal="center"/>
    </xf>
    <xf numFmtId="164" fontId="0" fillId="0" borderId="7" xfId="0" applyNumberFormat="1" applyFill="1" applyBorder="1" applyAlignment="1">
      <alignment horizontal="center"/>
    </xf>
    <xf numFmtId="164" fontId="0" fillId="0" borderId="8" xfId="0" applyNumberFormat="1" applyFill="1" applyBorder="1" applyAlignment="1">
      <alignment horizontal="center"/>
    </xf>
    <xf numFmtId="164" fontId="0" fillId="0" borderId="9" xfId="0" applyNumberFormat="1" applyFill="1" applyBorder="1" applyAlignment="1">
      <alignment horizontal="center"/>
    </xf>
    <xf numFmtId="164" fontId="3" fillId="0" borderId="0" xfId="0" applyNumberFormat="1" applyFont="1" applyBorder="1" applyAlignment="1" applyProtection="1">
      <alignment horizontal="center"/>
      <protection locked="0"/>
    </xf>
    <xf numFmtId="164" fontId="0" fillId="0" borderId="0" xfId="0" applyNumberFormat="1" applyBorder="1" applyAlignment="1">
      <alignment horizontal="center"/>
    </xf>
    <xf numFmtId="164" fontId="0" fillId="0" borderId="51" xfId="0" applyNumberFormat="1" applyBorder="1" applyAlignment="1" applyProtection="1">
      <alignment horizontal="center"/>
      <protection locked="0"/>
    </xf>
    <xf numFmtId="164" fontId="0" fillId="0" borderId="15" xfId="0" applyNumberFormat="1" applyFont="1" applyBorder="1" applyAlignment="1" applyProtection="1">
      <alignment horizontal="center"/>
      <protection locked="0"/>
    </xf>
    <xf numFmtId="0" fontId="0" fillId="4" borderId="4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2" xfId="0" applyFont="1" applyFill="1" applyBorder="1" applyAlignment="1">
      <alignment horizontal="center" vertical="center"/>
    </xf>
    <xf numFmtId="1" fontId="0" fillId="0" borderId="0" xfId="0" applyNumberFormat="1" applyFont="1" applyFill="1" applyBorder="1" applyAlignment="1">
      <alignment horizontal="right"/>
    </xf>
    <xf numFmtId="0" fontId="0" fillId="0" borderId="0" xfId="0" applyFont="1" applyAlignment="1">
      <alignment horizontal="right"/>
    </xf>
    <xf numFmtId="2" fontId="0" fillId="0" borderId="0" xfId="0" applyNumberFormat="1" applyFill="1" applyAlignment="1">
      <alignment horizontal="center"/>
    </xf>
    <xf numFmtId="37" fontId="0" fillId="0" borderId="0" xfId="3" applyNumberFormat="1" applyFont="1" applyFill="1" applyBorder="1" applyAlignment="1" applyProtection="1">
      <alignment horizontal="center"/>
      <protection locked="0"/>
    </xf>
    <xf numFmtId="5" fontId="0" fillId="0" borderId="0" xfId="3" applyNumberFormat="1" applyFont="1" applyFill="1" applyBorder="1" applyAlignment="1" applyProtection="1">
      <alignment horizontal="center"/>
      <protection locked="0"/>
    </xf>
    <xf numFmtId="0" fontId="0" fillId="0" borderId="0" xfId="0" applyFill="1" applyAlignment="1">
      <alignment horizontal="center"/>
    </xf>
    <xf numFmtId="166" fontId="0" fillId="0" borderId="0" xfId="2" applyNumberFormat="1" applyFont="1" applyFill="1" applyBorder="1" applyAlignment="1">
      <alignment horizontal="center"/>
    </xf>
    <xf numFmtId="5" fontId="0" fillId="0" borderId="0" xfId="3" applyNumberFormat="1" applyFont="1" applyFill="1" applyBorder="1" applyAlignment="1">
      <alignment horizontal="center"/>
    </xf>
    <xf numFmtId="7" fontId="0" fillId="0" borderId="0" xfId="3" applyNumberFormat="1" applyFont="1" applyFill="1" applyBorder="1" applyAlignment="1">
      <alignment horizontal="center"/>
    </xf>
    <xf numFmtId="0" fontId="18" fillId="0" borderId="0" xfId="0" applyFont="1" applyFill="1" applyBorder="1" applyAlignment="1">
      <alignment horizontal="left" wrapText="1"/>
    </xf>
    <xf numFmtId="173" fontId="0" fillId="5" borderId="14" xfId="0" applyNumberFormat="1" applyFont="1" applyFill="1" applyBorder="1" applyAlignment="1">
      <alignment horizontal="center"/>
    </xf>
    <xf numFmtId="0" fontId="21" fillId="0" borderId="0" xfId="0" applyFont="1" applyAlignment="1">
      <alignment horizontal="center"/>
    </xf>
    <xf numFmtId="0" fontId="3" fillId="0" borderId="53" xfId="0" applyFont="1" applyBorder="1"/>
    <xf numFmtId="166" fontId="0" fillId="0" borderId="3" xfId="2" applyNumberFormat="1" applyFont="1" applyBorder="1" applyAlignment="1" applyProtection="1">
      <alignment horizontal="center"/>
      <protection locked="0"/>
    </xf>
    <xf numFmtId="0" fontId="3" fillId="0" borderId="53" xfId="0" applyFont="1" applyBorder="1" applyAlignment="1">
      <alignment vertical="top"/>
    </xf>
    <xf numFmtId="0" fontId="0" fillId="0" borderId="48" xfId="0" applyBorder="1" applyAlignment="1">
      <alignment vertical="top"/>
    </xf>
    <xf numFmtId="0" fontId="0" fillId="0" borderId="49" xfId="0" applyBorder="1" applyAlignment="1">
      <alignment vertical="top"/>
    </xf>
    <xf numFmtId="0" fontId="0" fillId="0" borderId="53" xfId="0" applyFont="1" applyBorder="1"/>
    <xf numFmtId="0" fontId="0" fillId="0" borderId="0" xfId="0"/>
    <xf numFmtId="0" fontId="47" fillId="0" borderId="0" xfId="6" applyFont="1" applyAlignment="1">
      <alignment horizontal="left" indent="4"/>
    </xf>
    <xf numFmtId="0" fontId="43" fillId="0" borderId="0" xfId="21" applyFont="1" applyAlignment="1" applyProtection="1">
      <alignment vertical="top"/>
    </xf>
    <xf numFmtId="0" fontId="43" fillId="0" borderId="0" xfId="21" applyFont="1"/>
    <xf numFmtId="168" fontId="5" fillId="0" borderId="46" xfId="6" applyNumberFormat="1" applyFont="1" applyBorder="1" applyAlignment="1" applyProtection="1">
      <alignment horizontal="left" vertical="top"/>
    </xf>
    <xf numFmtId="168" fontId="5" fillId="0" borderId="46" xfId="6" applyNumberFormat="1" applyFont="1" applyBorder="1"/>
    <xf numFmtId="0" fontId="5" fillId="0" borderId="0" xfId="6" applyFont="1" applyBorder="1" applyAlignment="1">
      <alignment horizontal="left" indent="1"/>
    </xf>
    <xf numFmtId="0" fontId="52" fillId="0" borderId="0" xfId="5" applyFont="1" applyBorder="1"/>
    <xf numFmtId="0" fontId="5" fillId="0" borderId="0" xfId="6" applyFont="1" applyAlignment="1">
      <alignment horizontal="left" wrapText="1"/>
    </xf>
    <xf numFmtId="0" fontId="5" fillId="0" borderId="0" xfId="6" applyFont="1" applyAlignment="1">
      <alignment horizontal="left" indent="2"/>
    </xf>
    <xf numFmtId="0" fontId="5" fillId="0" borderId="0" xfId="6" applyFont="1" applyAlignment="1">
      <alignment horizontal="left" wrapText="1" indent="2"/>
    </xf>
    <xf numFmtId="0" fontId="47" fillId="0" borderId="0" xfId="6" applyFont="1" applyAlignment="1">
      <alignment horizontal="left" indent="1"/>
    </xf>
    <xf numFmtId="0" fontId="47" fillId="0" borderId="0" xfId="6" applyFont="1" applyAlignment="1">
      <alignment horizontal="left" wrapText="1" indent="1"/>
    </xf>
    <xf numFmtId="0" fontId="7" fillId="0" borderId="0" xfId="6" applyFont="1"/>
    <xf numFmtId="0" fontId="16" fillId="3" borderId="31" xfId="43" applyFont="1" applyFill="1" applyBorder="1"/>
    <xf numFmtId="0" fontId="5" fillId="0" borderId="0" xfId="6" applyFont="1" applyBorder="1" applyAlignment="1" applyProtection="1">
      <alignment vertical="top"/>
    </xf>
    <xf numFmtId="0" fontId="5" fillId="0" borderId="0" xfId="6" applyFont="1" applyBorder="1" applyAlignment="1" applyProtection="1">
      <alignment horizontal="left" vertical="top" indent="1"/>
    </xf>
    <xf numFmtId="0" fontId="5" fillId="0" borderId="0" xfId="6" applyFont="1" applyBorder="1" applyAlignment="1" applyProtection="1">
      <alignment horizontal="left" vertical="top"/>
    </xf>
    <xf numFmtId="0" fontId="5" fillId="0" borderId="1" xfId="6" applyFont="1" applyBorder="1" applyAlignment="1" applyProtection="1">
      <alignment horizontal="left" vertical="top"/>
    </xf>
    <xf numFmtId="0" fontId="35" fillId="3" borderId="32" xfId="21" applyFont="1" applyFill="1" applyBorder="1" applyAlignment="1" applyProtection="1">
      <alignment vertical="top"/>
    </xf>
    <xf numFmtId="0" fontId="16" fillId="3" borderId="32" xfId="21" applyFont="1" applyFill="1" applyBorder="1" applyAlignment="1" applyProtection="1"/>
    <xf numFmtId="0" fontId="16" fillId="3" borderId="33" xfId="21" applyFont="1" applyFill="1" applyBorder="1" applyAlignment="1" applyProtection="1">
      <alignment horizontal="center"/>
    </xf>
    <xf numFmtId="168" fontId="27" fillId="0" borderId="46" xfId="21" applyNumberFormat="1" applyFont="1" applyBorder="1" applyAlignment="1" applyProtection="1">
      <alignment horizontal="left" vertical="top"/>
    </xf>
    <xf numFmtId="168" fontId="35" fillId="3" borderId="32" xfId="21" applyNumberFormat="1" applyFont="1" applyFill="1" applyBorder="1" applyAlignment="1" applyProtection="1">
      <alignment horizontal="center" vertical="top"/>
    </xf>
    <xf numFmtId="0" fontId="55" fillId="3" borderId="32" xfId="21" applyFont="1" applyFill="1" applyBorder="1" applyAlignment="1" applyProtection="1"/>
    <xf numFmtId="0" fontId="35" fillId="3" borderId="32" xfId="21" applyFont="1" applyFill="1" applyBorder="1" applyAlignment="1" applyProtection="1">
      <alignment horizontal="center" vertical="top"/>
    </xf>
    <xf numFmtId="168" fontId="27" fillId="0" borderId="46" xfId="21" applyNumberFormat="1" applyFont="1" applyFill="1" applyBorder="1" applyAlignment="1" applyProtection="1">
      <alignment horizontal="left" vertical="top"/>
    </xf>
    <xf numFmtId="168" fontId="35" fillId="3" borderId="32" xfId="21" applyNumberFormat="1" applyFont="1" applyFill="1" applyBorder="1" applyAlignment="1" applyProtection="1">
      <alignment horizontal="left" vertical="top"/>
    </xf>
    <xf numFmtId="0" fontId="35" fillId="3" borderId="32" xfId="21" applyFont="1" applyFill="1" applyBorder="1" applyAlignment="1" applyProtection="1">
      <alignment horizontal="left" vertical="top"/>
    </xf>
    <xf numFmtId="0" fontId="35" fillId="3" borderId="32" xfId="21" applyFont="1" applyFill="1" applyBorder="1" applyAlignment="1" applyProtection="1">
      <alignment wrapText="1"/>
    </xf>
    <xf numFmtId="0" fontId="27" fillId="0" borderId="0" xfId="21" applyFont="1" applyBorder="1" applyAlignment="1"/>
    <xf numFmtId="168" fontId="27" fillId="0" borderId="0" xfId="21" applyNumberFormat="1" applyFont="1" applyFill="1" applyBorder="1" applyAlignment="1" applyProtection="1">
      <alignment horizontal="left" vertical="top"/>
    </xf>
    <xf numFmtId="0" fontId="35" fillId="3" borderId="32" xfId="6" applyFont="1" applyFill="1" applyBorder="1"/>
    <xf numFmtId="0" fontId="35" fillId="3" borderId="32" xfId="6" applyFont="1" applyFill="1" applyBorder="1" applyProtection="1"/>
    <xf numFmtId="0" fontId="35" fillId="3" borderId="32" xfId="6" applyFont="1" applyFill="1" applyBorder="1" applyAlignment="1" applyProtection="1">
      <alignment vertical="top"/>
    </xf>
    <xf numFmtId="0" fontId="0" fillId="0" borderId="0" xfId="0"/>
    <xf numFmtId="0" fontId="16" fillId="3" borderId="2" xfId="43" applyFont="1" applyFill="1" applyBorder="1"/>
    <xf numFmtId="0" fontId="35" fillId="0" borderId="0" xfId="6" applyFont="1"/>
    <xf numFmtId="0" fontId="0" fillId="0" borderId="0" xfId="0"/>
    <xf numFmtId="0" fontId="18" fillId="3" borderId="2" xfId="0" applyFont="1" applyFill="1" applyBorder="1"/>
    <xf numFmtId="0" fontId="24" fillId="0" borderId="0" xfId="4" applyFont="1" applyAlignment="1" applyProtection="1">
      <alignment wrapText="1"/>
    </xf>
    <xf numFmtId="0" fontId="24" fillId="0" borderId="0" xfId="4" applyFont="1" applyAlignment="1" applyProtection="1"/>
    <xf numFmtId="0" fontId="18" fillId="3" borderId="31" xfId="0" applyFont="1" applyFill="1" applyBorder="1" applyAlignment="1">
      <alignment horizontal="left"/>
    </xf>
    <xf numFmtId="0" fontId="16" fillId="3" borderId="2" xfId="0" applyFont="1" applyFill="1" applyBorder="1" applyAlignment="1">
      <alignment horizontal="center" vertical="center" wrapText="1"/>
    </xf>
    <xf numFmtId="0" fontId="0" fillId="0" borderId="0" xfId="0"/>
    <xf numFmtId="0" fontId="27" fillId="0" borderId="2" xfId="21" applyFont="1" applyBorder="1" applyAlignment="1" applyProtection="1">
      <alignment horizontal="center" wrapText="1"/>
      <protection locked="0"/>
    </xf>
    <xf numFmtId="166" fontId="0" fillId="0" borderId="13" xfId="2" applyNumberFormat="1" applyFont="1" applyBorder="1" applyAlignment="1" applyProtection="1">
      <alignment horizontal="center" vertical="center"/>
      <protection locked="0"/>
    </xf>
    <xf numFmtId="166" fontId="0" fillId="0" borderId="15" xfId="2" applyNumberFormat="1" applyFont="1" applyBorder="1" applyAlignment="1" applyProtection="1">
      <alignment horizontal="center" vertical="center"/>
      <protection locked="0"/>
    </xf>
    <xf numFmtId="0" fontId="0" fillId="0" borderId="0" xfId="0" applyFont="1" applyFill="1" applyBorder="1"/>
    <xf numFmtId="0" fontId="59" fillId="0" borderId="0" xfId="6" applyFont="1" applyAlignment="1">
      <alignment horizontal="left" wrapText="1" indent="1"/>
    </xf>
    <xf numFmtId="165" fontId="4" fillId="0" borderId="5" xfId="0" applyNumberFormat="1" applyFont="1" applyFill="1" applyBorder="1" applyAlignment="1">
      <alignment horizontal="center" vertical="center"/>
    </xf>
    <xf numFmtId="165" fontId="4" fillId="5" borderId="5" xfId="0" applyNumberFormat="1" applyFont="1" applyFill="1" applyBorder="1" applyAlignment="1">
      <alignment horizontal="center" vertical="center"/>
    </xf>
    <xf numFmtId="166" fontId="4" fillId="5" borderId="11" xfId="2" applyNumberFormat="1" applyFont="1" applyFill="1" applyBorder="1" applyAlignment="1">
      <alignment horizontal="center" vertical="center"/>
    </xf>
    <xf numFmtId="166" fontId="4" fillId="0" borderId="7" xfId="2" applyNumberFormat="1" applyFont="1" applyFill="1" applyBorder="1" applyAlignment="1">
      <alignment horizontal="center" vertical="center"/>
    </xf>
    <xf numFmtId="166" fontId="4" fillId="0" borderId="0" xfId="0" applyNumberFormat="1" applyFont="1" applyAlignment="1">
      <alignment horizontal="right" vertical="center"/>
    </xf>
    <xf numFmtId="5" fontId="0" fillId="5" borderId="6" xfId="3" applyNumberFormat="1" applyFont="1" applyFill="1" applyBorder="1" applyAlignment="1">
      <alignment horizontal="center" wrapText="1"/>
    </xf>
    <xf numFmtId="5" fontId="0" fillId="5" borderId="9" xfId="3" applyNumberFormat="1" applyFont="1" applyFill="1" applyBorder="1" applyAlignment="1">
      <alignment horizontal="center" wrapText="1"/>
    </xf>
    <xf numFmtId="5" fontId="0" fillId="5" borderId="4" xfId="3" applyNumberFormat="1" applyFont="1" applyFill="1" applyBorder="1" applyAlignment="1">
      <alignment horizontal="center" wrapText="1"/>
    </xf>
    <xf numFmtId="5" fontId="0" fillId="5" borderId="7" xfId="3" applyNumberFormat="1" applyFont="1" applyFill="1" applyBorder="1" applyAlignment="1">
      <alignment horizontal="center" wrapText="1"/>
    </xf>
    <xf numFmtId="5" fontId="0" fillId="0" borderId="51" xfId="3" applyNumberFormat="1" applyFont="1" applyFill="1" applyBorder="1" applyAlignment="1">
      <alignment horizontal="center" wrapText="1"/>
    </xf>
    <xf numFmtId="5" fontId="0" fillId="0" borderId="4" xfId="3" applyNumberFormat="1" applyFont="1" applyFill="1" applyBorder="1" applyAlignment="1">
      <alignment horizontal="center" wrapText="1"/>
    </xf>
    <xf numFmtId="5" fontId="0" fillId="0" borderId="6" xfId="3" applyNumberFormat="1" applyFont="1" applyFill="1" applyBorder="1" applyAlignment="1">
      <alignment horizontal="center" wrapText="1"/>
    </xf>
    <xf numFmtId="166" fontId="0" fillId="0" borderId="51" xfId="2" applyNumberFormat="1" applyFont="1" applyFill="1" applyBorder="1" applyAlignment="1">
      <alignment horizontal="center"/>
    </xf>
    <xf numFmtId="166" fontId="0" fillId="0" borderId="52" xfId="2" applyNumberFormat="1" applyFont="1" applyFill="1" applyBorder="1" applyAlignment="1">
      <alignment horizontal="center"/>
    </xf>
    <xf numFmtId="166" fontId="0" fillId="5" borderId="34" xfId="2" applyNumberFormat="1" applyFont="1" applyFill="1" applyBorder="1" applyAlignment="1">
      <alignment horizontal="center"/>
    </xf>
    <xf numFmtId="5" fontId="0" fillId="5" borderId="11" xfId="3" applyNumberFormat="1" applyFont="1" applyFill="1" applyBorder="1" applyAlignment="1">
      <alignment horizontal="center"/>
    </xf>
    <xf numFmtId="7" fontId="0" fillId="5" borderId="12" xfId="3" applyNumberFormat="1" applyFont="1" applyFill="1" applyBorder="1" applyAlignment="1">
      <alignment horizontal="center"/>
    </xf>
    <xf numFmtId="166" fontId="5" fillId="5" borderId="12" xfId="2" applyNumberFormat="1" applyFont="1" applyFill="1" applyBorder="1" applyAlignment="1">
      <alignment horizontal="center"/>
    </xf>
    <xf numFmtId="166" fontId="5" fillId="0" borderId="15" xfId="2" applyNumberFormat="1" applyFont="1" applyFill="1" applyBorder="1" applyAlignment="1">
      <alignment horizontal="center"/>
    </xf>
    <xf numFmtId="166" fontId="0" fillId="0" borderId="2" xfId="2" applyNumberFormat="1" applyFont="1" applyBorder="1" applyAlignment="1">
      <alignment horizontal="center"/>
    </xf>
    <xf numFmtId="166" fontId="3" fillId="0" borderId="9" xfId="2" applyNumberFormat="1" applyFont="1" applyFill="1" applyBorder="1" applyAlignment="1">
      <alignment horizontal="center" vertical="center"/>
    </xf>
    <xf numFmtId="0" fontId="46" fillId="0" borderId="0" xfId="0" applyFont="1"/>
    <xf numFmtId="0" fontId="5" fillId="0" borderId="0" xfId="6" applyFont="1" applyAlignment="1">
      <alignment horizontal="left" vertical="top" wrapText="1"/>
    </xf>
    <xf numFmtId="0" fontId="6" fillId="0" borderId="0" xfId="43" applyFont="1" applyFill="1" applyBorder="1"/>
    <xf numFmtId="0" fontId="5" fillId="0" borderId="0" xfId="6" applyFont="1" applyFill="1" applyBorder="1"/>
    <xf numFmtId="0" fontId="47" fillId="0" borderId="0" xfId="6" applyFont="1" applyAlignment="1">
      <alignment horizontal="left" vertical="top" wrapText="1" indent="1"/>
    </xf>
    <xf numFmtId="0" fontId="5" fillId="0" borderId="0" xfId="6" applyFont="1" applyAlignment="1">
      <alignment vertical="center" wrapText="1"/>
    </xf>
    <xf numFmtId="0" fontId="5" fillId="0" borderId="0" xfId="6" applyFont="1" applyAlignment="1">
      <alignment vertical="center"/>
    </xf>
    <xf numFmtId="0" fontId="5" fillId="0" borderId="0" xfId="6" applyFont="1" applyAlignment="1">
      <alignment horizontal="left" vertical="center" wrapText="1"/>
    </xf>
    <xf numFmtId="168" fontId="5" fillId="0" borderId="0" xfId="6" applyNumberFormat="1" applyFont="1" applyBorder="1" applyAlignment="1" applyProtection="1">
      <alignment horizontal="left" vertical="top"/>
    </xf>
    <xf numFmtId="0" fontId="5" fillId="0" borderId="0" xfId="6" applyFont="1" applyAlignment="1">
      <alignment horizontal="left" vertical="top"/>
    </xf>
    <xf numFmtId="0" fontId="23" fillId="0" borderId="0" xfId="21" applyFont="1" applyAlignment="1" applyProtection="1">
      <alignment horizontal="left" vertical="top"/>
    </xf>
    <xf numFmtId="0" fontId="27" fillId="0" borderId="0" xfId="21" applyFont="1" applyAlignment="1" applyProtection="1">
      <alignment horizontal="left" vertical="top"/>
    </xf>
    <xf numFmtId="0" fontId="5" fillId="0" borderId="0" xfId="6" applyFont="1" applyAlignment="1" applyProtection="1">
      <alignment horizontal="left" vertical="top"/>
    </xf>
    <xf numFmtId="0" fontId="5" fillId="0" borderId="74" xfId="6" applyFont="1" applyFill="1" applyBorder="1" applyProtection="1"/>
    <xf numFmtId="0" fontId="5" fillId="0" borderId="73" xfId="6" applyFont="1" applyFill="1" applyBorder="1" applyProtection="1"/>
    <xf numFmtId="0" fontId="53" fillId="0" borderId="73" xfId="50" applyFont="1" applyFill="1" applyBorder="1" applyAlignment="1" applyProtection="1">
      <alignment wrapText="1"/>
    </xf>
    <xf numFmtId="0" fontId="53" fillId="0" borderId="73" xfId="50" applyFont="1" applyFill="1" applyBorder="1" applyAlignment="1" applyProtection="1"/>
    <xf numFmtId="0" fontId="5" fillId="0" borderId="74" xfId="6" applyFont="1" applyFill="1" applyBorder="1"/>
    <xf numFmtId="0" fontId="5" fillId="0" borderId="17" xfId="6" applyFont="1" applyFill="1" applyBorder="1"/>
    <xf numFmtId="0" fontId="5" fillId="0" borderId="73" xfId="6" applyFont="1" applyFill="1" applyBorder="1" applyAlignment="1">
      <alignment horizontal="right"/>
    </xf>
    <xf numFmtId="0" fontId="5" fillId="0" borderId="18" xfId="6" applyFont="1" applyFill="1" applyBorder="1" applyAlignment="1">
      <alignment horizontal="right"/>
    </xf>
    <xf numFmtId="0" fontId="5" fillId="0" borderId="73" xfId="6" applyFont="1" applyFill="1" applyBorder="1"/>
    <xf numFmtId="0" fontId="5" fillId="0" borderId="74" xfId="6" applyFont="1" applyFill="1" applyBorder="1" applyAlignment="1">
      <alignment horizontal="right"/>
    </xf>
    <xf numFmtId="0" fontId="5" fillId="0" borderId="17" xfId="6" applyFont="1" applyFill="1" applyBorder="1" applyAlignment="1">
      <alignment horizontal="right"/>
    </xf>
    <xf numFmtId="0" fontId="53" fillId="0" borderId="74" xfId="50" applyFont="1" applyFill="1" applyBorder="1" applyAlignment="1" applyProtection="1">
      <alignment wrapText="1"/>
    </xf>
    <xf numFmtId="0" fontId="53" fillId="0" borderId="74" xfId="50" applyFont="1" applyFill="1" applyBorder="1" applyAlignment="1" applyProtection="1"/>
    <xf numFmtId="0" fontId="5" fillId="0" borderId="18" xfId="6" applyFont="1" applyFill="1" applyBorder="1"/>
    <xf numFmtId="0" fontId="0" fillId="0" borderId="0" xfId="0"/>
    <xf numFmtId="0" fontId="27" fillId="0" borderId="32" xfId="21" applyFont="1" applyBorder="1" applyAlignment="1"/>
    <xf numFmtId="0" fontId="5" fillId="0" borderId="32" xfId="6" applyFont="1" applyBorder="1"/>
    <xf numFmtId="0" fontId="27" fillId="0" borderId="31" xfId="21" applyFont="1" applyBorder="1" applyAlignment="1">
      <alignment vertical="center"/>
    </xf>
    <xf numFmtId="167" fontId="0" fillId="0" borderId="5" xfId="0" applyNumberFormat="1" applyBorder="1" applyAlignment="1" applyProtection="1">
      <alignment horizontal="center" vertical="center"/>
      <protection locked="0"/>
    </xf>
    <xf numFmtId="0" fontId="46" fillId="0" borderId="0" xfId="0" applyFont="1" applyAlignment="1">
      <alignment horizontal="left" vertical="center"/>
    </xf>
    <xf numFmtId="0" fontId="58" fillId="0" borderId="0" xfId="0" applyFont="1" applyAlignment="1">
      <alignment horizontal="left"/>
    </xf>
    <xf numFmtId="0" fontId="59" fillId="0" borderId="0" xfId="0" applyFont="1" applyAlignment="1">
      <alignment horizontal="left"/>
    </xf>
    <xf numFmtId="0" fontId="59" fillId="0" borderId="0" xfId="44" applyFont="1" applyBorder="1"/>
    <xf numFmtId="166" fontId="5" fillId="0" borderId="3" xfId="2" applyNumberFormat="1" applyFont="1" applyFill="1" applyBorder="1" applyAlignment="1">
      <alignment horizontal="center" vertical="center"/>
    </xf>
    <xf numFmtId="166" fontId="5" fillId="0" borderId="17" xfId="2" applyNumberFormat="1" applyFont="1" applyFill="1" applyBorder="1" applyAlignment="1">
      <alignment horizontal="center" vertical="center"/>
    </xf>
    <xf numFmtId="0" fontId="0" fillId="0" borderId="0" xfId="0" applyBorder="1" applyAlignment="1" applyProtection="1">
      <alignment horizontal="left" vertical="top" wrapText="1"/>
      <protection locked="0"/>
    </xf>
    <xf numFmtId="0" fontId="0" fillId="0" borderId="0" xfId="0"/>
    <xf numFmtId="0" fontId="7" fillId="0" borderId="0" xfId="21" applyFont="1" applyAlignment="1" applyProtection="1">
      <alignment vertical="top"/>
    </xf>
    <xf numFmtId="0" fontId="7" fillId="0" borderId="0" xfId="21" applyFont="1"/>
    <xf numFmtId="0" fontId="7" fillId="0" borderId="0" xfId="5" applyFont="1" applyFill="1" applyBorder="1" applyAlignment="1">
      <alignment vertical="center"/>
    </xf>
    <xf numFmtId="0" fontId="5" fillId="0" borderId="1" xfId="0" applyFont="1" applyBorder="1" applyAlignment="1">
      <alignment horizontal="left" vertical="center"/>
    </xf>
    <xf numFmtId="166" fontId="3" fillId="5" borderId="26" xfId="2" applyNumberFormat="1" applyFont="1" applyFill="1" applyBorder="1" applyAlignment="1" applyProtection="1">
      <alignment horizontal="center" vertical="center"/>
      <protection locked="0"/>
    </xf>
    <xf numFmtId="166" fontId="3" fillId="5" borderId="52" xfId="2" applyNumberFormat="1" applyFont="1" applyFill="1" applyBorder="1" applyAlignment="1" applyProtection="1">
      <alignment horizontal="center" vertical="center"/>
      <protection locked="0"/>
    </xf>
    <xf numFmtId="166" fontId="3" fillId="5" borderId="63" xfId="2" applyNumberFormat="1" applyFont="1" applyFill="1" applyBorder="1" applyAlignment="1" applyProtection="1">
      <alignment horizontal="center" vertical="center"/>
      <protection locked="0"/>
    </xf>
    <xf numFmtId="166" fontId="0" fillId="0" borderId="58" xfId="2" applyNumberFormat="1" applyFont="1" applyBorder="1" applyAlignment="1" applyProtection="1">
      <alignment horizontal="center"/>
      <protection locked="0"/>
    </xf>
    <xf numFmtId="166" fontId="5" fillId="0" borderId="0" xfId="2" applyNumberFormat="1" applyFont="1"/>
    <xf numFmtId="0" fontId="46" fillId="0" borderId="0" xfId="0" applyFont="1" applyProtection="1">
      <protection hidden="1"/>
    </xf>
    <xf numFmtId="0" fontId="16" fillId="3" borderId="2" xfId="0" applyFont="1" applyFill="1" applyBorder="1" applyAlignment="1">
      <alignment horizontal="center" vertical="center" wrapText="1"/>
    </xf>
    <xf numFmtId="0" fontId="6" fillId="0" borderId="0" xfId="6" applyFont="1" applyAlignment="1">
      <alignment horizontal="center"/>
    </xf>
    <xf numFmtId="0" fontId="27" fillId="2" borderId="55" xfId="21" applyFont="1" applyFill="1" applyBorder="1" applyAlignment="1" applyProtection="1">
      <alignment horizontal="center"/>
    </xf>
    <xf numFmtId="0" fontId="27" fillId="2" borderId="2" xfId="21" applyFont="1" applyFill="1" applyBorder="1" applyAlignment="1" applyProtection="1">
      <alignment horizontal="center"/>
    </xf>
    <xf numFmtId="0" fontId="27" fillId="2" borderId="56" xfId="21" applyFont="1" applyFill="1" applyBorder="1" applyAlignment="1" applyProtection="1">
      <alignment horizontal="center"/>
    </xf>
    <xf numFmtId="0" fontId="55" fillId="3" borderId="33" xfId="21" applyFont="1" applyFill="1" applyBorder="1" applyAlignment="1" applyProtection="1">
      <alignment horizontal="center" wrapText="1"/>
    </xf>
    <xf numFmtId="0" fontId="27" fillId="0" borderId="57" xfId="21" applyFont="1" applyBorder="1" applyAlignment="1" applyProtection="1">
      <alignment horizontal="center" wrapText="1"/>
      <protection locked="0"/>
    </xf>
    <xf numFmtId="0" fontId="27" fillId="0" borderId="56" xfId="21" applyFont="1" applyBorder="1" applyAlignment="1" applyProtection="1">
      <alignment horizontal="center" wrapText="1"/>
      <protection locked="0"/>
    </xf>
    <xf numFmtId="0" fontId="27" fillId="0" borderId="55" xfId="21" applyFont="1" applyBorder="1" applyAlignment="1" applyProtection="1">
      <alignment horizontal="center" wrapText="1"/>
      <protection locked="0"/>
    </xf>
    <xf numFmtId="0" fontId="27" fillId="0" borderId="55" xfId="21" applyFont="1" applyBorder="1" applyAlignment="1" applyProtection="1">
      <alignment horizontal="center"/>
      <protection locked="0"/>
    </xf>
    <xf numFmtId="0" fontId="5" fillId="0" borderId="2" xfId="6" applyFont="1" applyBorder="1" applyAlignment="1" applyProtection="1">
      <alignment horizontal="center"/>
      <protection locked="0"/>
    </xf>
    <xf numFmtId="0" fontId="35" fillId="3" borderId="33" xfId="6" applyFont="1" applyFill="1" applyBorder="1" applyAlignment="1" applyProtection="1">
      <alignment horizontal="center"/>
    </xf>
    <xf numFmtId="0" fontId="27" fillId="0" borderId="33" xfId="21" applyFont="1" applyBorder="1" applyAlignment="1">
      <alignment horizontal="center"/>
    </xf>
    <xf numFmtId="0" fontId="27" fillId="0" borderId="46" xfId="21" applyFont="1" applyBorder="1" applyAlignment="1">
      <alignment horizontal="center"/>
    </xf>
    <xf numFmtId="0" fontId="27" fillId="0" borderId="46" xfId="21" applyFont="1" applyBorder="1" applyAlignment="1">
      <alignment horizontal="center" wrapText="1"/>
    </xf>
    <xf numFmtId="0" fontId="5" fillId="0" borderId="33" xfId="6" applyFont="1" applyBorder="1" applyAlignment="1" applyProtection="1">
      <alignment horizontal="center"/>
    </xf>
    <xf numFmtId="0" fontId="5" fillId="0" borderId="46" xfId="6" applyFont="1" applyBorder="1" applyAlignment="1" applyProtection="1">
      <alignment horizontal="center"/>
    </xf>
    <xf numFmtId="0" fontId="5" fillId="0" borderId="46" xfId="6" applyFont="1" applyBorder="1" applyAlignment="1">
      <alignment horizontal="center"/>
    </xf>
    <xf numFmtId="0" fontId="5" fillId="0" borderId="45" xfId="6" applyFont="1" applyBorder="1" applyAlignment="1">
      <alignment horizontal="center"/>
    </xf>
    <xf numFmtId="0" fontId="27" fillId="0" borderId="55" xfId="21" applyFont="1" applyBorder="1" applyAlignment="1" applyProtection="1">
      <alignment horizontal="center" vertical="center" wrapText="1"/>
      <protection locked="0"/>
    </xf>
    <xf numFmtId="0" fontId="27" fillId="0" borderId="2" xfId="21" applyFont="1" applyBorder="1" applyAlignment="1" applyProtection="1">
      <alignment horizontal="center" vertical="center" wrapText="1"/>
      <protection locked="0"/>
    </xf>
    <xf numFmtId="0" fontId="5" fillId="0" borderId="2" xfId="6" applyFont="1" applyBorder="1" applyAlignment="1" applyProtection="1">
      <alignment horizontal="center" vertical="center"/>
      <protection locked="0"/>
    </xf>
    <xf numFmtId="0" fontId="0" fillId="0" borderId="0" xfId="0" applyFont="1" applyAlignment="1">
      <alignment horizontal="center"/>
    </xf>
    <xf numFmtId="0" fontId="3" fillId="5" borderId="58" xfId="0" applyFont="1" applyFill="1" applyBorder="1" applyAlignment="1">
      <alignment vertical="center"/>
    </xf>
    <xf numFmtId="0" fontId="3" fillId="0" borderId="37" xfId="0" applyFont="1" applyFill="1" applyBorder="1" applyAlignment="1">
      <alignment horizontal="left" vertical="center"/>
    </xf>
    <xf numFmtId="0" fontId="16" fillId="3" borderId="2" xfId="0" applyFont="1" applyFill="1" applyBorder="1" applyAlignment="1">
      <alignment vertical="center"/>
    </xf>
    <xf numFmtId="0" fontId="5" fillId="0" borderId="0" xfId="6" applyFont="1" applyAlignment="1" applyProtection="1">
      <alignment horizontal="left" vertical="top"/>
      <protection locked="0"/>
    </xf>
    <xf numFmtId="0" fontId="5" fillId="0" borderId="0" xfId="6" applyFont="1" applyBorder="1" applyAlignment="1" applyProtection="1">
      <alignment horizontal="left" vertical="top"/>
      <protection locked="0"/>
    </xf>
    <xf numFmtId="0" fontId="5" fillId="0" borderId="0" xfId="6" applyFont="1" applyBorder="1" applyProtection="1">
      <protection locked="0"/>
    </xf>
    <xf numFmtId="0" fontId="27" fillId="0" borderId="0" xfId="21" applyFont="1" applyAlignment="1" applyProtection="1">
      <alignment horizontal="left" vertical="top"/>
      <protection locked="0"/>
    </xf>
    <xf numFmtId="0" fontId="5" fillId="2" borderId="2" xfId="6" applyFont="1" applyFill="1" applyBorder="1" applyAlignment="1" applyProtection="1">
      <alignment horizontal="center"/>
    </xf>
    <xf numFmtId="166" fontId="45" fillId="0" borderId="0" xfId="0" applyNumberFormat="1" applyFont="1" applyAlignment="1" applyProtection="1">
      <alignment horizontal="right" vertical="center"/>
      <protection hidden="1"/>
    </xf>
    <xf numFmtId="0" fontId="46" fillId="0" borderId="0" xfId="0" applyFont="1" applyAlignment="1">
      <alignment horizontal="left"/>
    </xf>
    <xf numFmtId="0" fontId="5" fillId="0" borderId="0" xfId="0" applyFont="1" applyBorder="1" applyAlignment="1">
      <alignment horizontal="left" vertical="center"/>
    </xf>
    <xf numFmtId="0" fontId="19" fillId="0" borderId="0" xfId="0" applyFont="1" applyProtection="1">
      <protection hidden="1"/>
    </xf>
    <xf numFmtId="173" fontId="0" fillId="0" borderId="50" xfId="0" applyNumberFormat="1" applyFont="1" applyFill="1" applyBorder="1" applyAlignment="1" applyProtection="1">
      <alignment horizontal="center"/>
      <protection hidden="1"/>
    </xf>
    <xf numFmtId="173" fontId="0" fillId="5" borderId="13" xfId="0" applyNumberFormat="1" applyFont="1" applyFill="1" applyBorder="1" applyAlignment="1" applyProtection="1">
      <alignment horizontal="center"/>
      <protection hidden="1"/>
    </xf>
    <xf numFmtId="173" fontId="0" fillId="0" borderId="13" xfId="0" applyNumberFormat="1" applyFont="1" applyFill="1" applyBorder="1" applyAlignment="1" applyProtection="1">
      <alignment horizontal="center"/>
      <protection hidden="1"/>
    </xf>
    <xf numFmtId="173" fontId="0" fillId="5" borderId="15" xfId="0" applyNumberFormat="1" applyFont="1" applyFill="1" applyBorder="1" applyAlignment="1" applyProtection="1">
      <alignment horizontal="center"/>
      <protection hidden="1"/>
    </xf>
    <xf numFmtId="167" fontId="4" fillId="0" borderId="4" xfId="0" applyNumberFormat="1" applyFont="1" applyFill="1" applyBorder="1" applyAlignment="1" applyProtection="1">
      <alignment horizontal="center" vertical="center"/>
      <protection hidden="1"/>
    </xf>
    <xf numFmtId="167" fontId="4" fillId="5" borderId="4" xfId="0" applyNumberFormat="1" applyFont="1" applyFill="1" applyBorder="1" applyAlignment="1" applyProtection="1">
      <alignment horizontal="center" vertical="center"/>
      <protection hidden="1"/>
    </xf>
    <xf numFmtId="167" fontId="4" fillId="0" borderId="7" xfId="0" applyNumberFormat="1" applyFont="1" applyFill="1" applyBorder="1" applyAlignment="1" applyProtection="1">
      <alignment horizontal="center" vertical="center"/>
      <protection hidden="1"/>
    </xf>
    <xf numFmtId="1" fontId="0" fillId="0" borderId="13" xfId="0" applyNumberFormat="1" applyFill="1" applyBorder="1" applyAlignment="1" applyProtection="1">
      <alignment horizontal="center"/>
      <protection hidden="1"/>
    </xf>
    <xf numFmtId="1" fontId="0" fillId="5" borderId="13" xfId="0" applyNumberFormat="1" applyFill="1" applyBorder="1" applyAlignment="1" applyProtection="1">
      <alignment horizontal="center"/>
      <protection hidden="1"/>
    </xf>
    <xf numFmtId="1" fontId="0" fillId="5" borderId="15" xfId="0" applyNumberFormat="1" applyFill="1" applyBorder="1" applyAlignment="1" applyProtection="1">
      <alignment horizontal="center"/>
      <protection hidden="1"/>
    </xf>
    <xf numFmtId="166" fontId="0" fillId="0" borderId="11" xfId="2" applyNumberFormat="1" applyFont="1" applyBorder="1" applyAlignment="1">
      <alignment horizontal="center" vertical="center"/>
    </xf>
    <xf numFmtId="166" fontId="0" fillId="0" borderId="50" xfId="2" applyNumberFormat="1" applyFont="1" applyBorder="1" applyAlignment="1">
      <alignment horizontal="center"/>
    </xf>
    <xf numFmtId="166" fontId="0" fillId="0" borderId="15" xfId="2" applyNumberFormat="1" applyFont="1" applyBorder="1" applyAlignment="1">
      <alignment horizont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166" fontId="0" fillId="0" borderId="10" xfId="2" applyNumberFormat="1" applyFont="1" applyBorder="1" applyAlignment="1">
      <alignment horizontal="center" vertical="center"/>
    </xf>
    <xf numFmtId="166" fontId="0" fillId="0" borderId="12" xfId="2" applyNumberFormat="1" applyFont="1" applyBorder="1" applyAlignment="1">
      <alignment horizontal="center" vertical="center"/>
    </xf>
    <xf numFmtId="166" fontId="0" fillId="0" borderId="7" xfId="2" applyNumberFormat="1" applyFont="1" applyBorder="1" applyAlignment="1">
      <alignment horizontal="center" vertical="center"/>
    </xf>
    <xf numFmtId="166" fontId="0" fillId="0" borderId="8" xfId="2" applyNumberFormat="1" applyFont="1" applyBorder="1" applyAlignment="1">
      <alignment horizontal="center" vertical="center"/>
    </xf>
    <xf numFmtId="166" fontId="0" fillId="0" borderId="9" xfId="2" applyNumberFormat="1" applyFont="1" applyBorder="1" applyAlignment="1">
      <alignment horizontal="center" vertical="center"/>
    </xf>
    <xf numFmtId="166" fontId="5" fillId="0" borderId="51" xfId="2" applyNumberFormat="1" applyFont="1" applyFill="1" applyBorder="1" applyAlignment="1">
      <alignment horizontal="center"/>
    </xf>
    <xf numFmtId="0" fontId="0" fillId="0" borderId="0" xfId="0" applyBorder="1" applyAlignment="1" applyProtection="1">
      <alignment horizontal="left" vertical="top" wrapText="1"/>
      <protection locked="0"/>
    </xf>
    <xf numFmtId="1" fontId="16" fillId="3" borderId="2" xfId="0" applyNumberFormat="1" applyFont="1" applyFill="1" applyBorder="1" applyAlignment="1" applyProtection="1">
      <alignment horizontal="center" vertical="center"/>
    </xf>
    <xf numFmtId="1" fontId="11" fillId="3" borderId="2" xfId="0" applyNumberFormat="1" applyFont="1" applyFill="1" applyBorder="1" applyAlignment="1" applyProtection="1">
      <alignment horizontal="center" vertical="center"/>
    </xf>
    <xf numFmtId="1" fontId="16" fillId="3" borderId="41" xfId="0" applyNumberFormat="1" applyFont="1" applyFill="1" applyBorder="1" applyAlignment="1" applyProtection="1">
      <alignment horizontal="center" vertical="center"/>
    </xf>
    <xf numFmtId="1" fontId="5" fillId="0" borderId="50" xfId="0" applyNumberFormat="1" applyFont="1" applyFill="1" applyBorder="1" applyAlignment="1" applyProtection="1">
      <alignment horizontal="center" vertical="center"/>
    </xf>
    <xf numFmtId="1" fontId="5" fillId="0" borderId="13" xfId="0" applyNumberFormat="1" applyFont="1" applyFill="1" applyBorder="1" applyAlignment="1" applyProtection="1">
      <alignment horizontal="center" vertical="center"/>
    </xf>
    <xf numFmtId="1" fontId="5" fillId="0" borderId="15" xfId="0" applyNumberFormat="1" applyFont="1" applyFill="1" applyBorder="1" applyAlignment="1" applyProtection="1">
      <alignment horizontal="center" vertical="center"/>
    </xf>
    <xf numFmtId="1" fontId="5" fillId="5" borderId="13" xfId="0" applyNumberFormat="1" applyFont="1" applyFill="1" applyBorder="1" applyAlignment="1" applyProtection="1">
      <alignment horizontal="center" vertical="center"/>
    </xf>
    <xf numFmtId="168" fontId="5" fillId="0" borderId="0" xfId="0" applyNumberFormat="1" applyFont="1" applyBorder="1" applyAlignment="1">
      <alignment horizontal="center" vertical="center"/>
    </xf>
    <xf numFmtId="0" fontId="0" fillId="0" borderId="0" xfId="0" applyBorder="1" applyProtection="1">
      <protection locked="0"/>
    </xf>
    <xf numFmtId="0" fontId="0" fillId="0" borderId="0" xfId="0" applyProtection="1">
      <protection locked="0"/>
    </xf>
    <xf numFmtId="166" fontId="3" fillId="0" borderId="12" xfId="2" applyNumberFormat="1" applyFont="1" applyBorder="1" applyAlignment="1" applyProtection="1">
      <alignment horizontal="center"/>
    </xf>
    <xf numFmtId="166" fontId="3" fillId="0" borderId="9" xfId="2" applyNumberFormat="1" applyFont="1" applyBorder="1" applyAlignment="1" applyProtection="1">
      <alignment horizontal="center"/>
    </xf>
    <xf numFmtId="168" fontId="0" fillId="0" borderId="0" xfId="0" applyNumberFormat="1" applyAlignment="1">
      <alignment horizontal="right"/>
    </xf>
    <xf numFmtId="168" fontId="5" fillId="0" borderId="0" xfId="0" applyNumberFormat="1" applyFont="1" applyAlignment="1">
      <alignment horizontal="right" wrapText="1"/>
    </xf>
    <xf numFmtId="0" fontId="0" fillId="0" borderId="52" xfId="0" applyBorder="1" applyAlignment="1" applyProtection="1">
      <alignment horizontal="center"/>
      <protection locked="0"/>
    </xf>
    <xf numFmtId="0" fontId="0" fillId="5" borderId="5" xfId="0" applyFill="1" applyBorder="1" applyAlignment="1" applyProtection="1">
      <alignment horizontal="center"/>
      <protection locked="0"/>
    </xf>
    <xf numFmtId="0" fontId="0" fillId="0" borderId="5" xfId="0" applyBorder="1" applyAlignment="1" applyProtection="1">
      <alignment horizontal="center"/>
      <protection locked="0"/>
    </xf>
    <xf numFmtId="0" fontId="0" fillId="5" borderId="8" xfId="0" applyFill="1" applyBorder="1" applyAlignment="1" applyProtection="1">
      <alignment horizontal="center"/>
      <protection locked="0"/>
    </xf>
    <xf numFmtId="168" fontId="60" fillId="0" borderId="0" xfId="0" applyNumberFormat="1" applyFont="1"/>
    <xf numFmtId="0" fontId="60" fillId="0" borderId="0" xfId="0" applyFont="1"/>
    <xf numFmtId="0" fontId="0" fillId="0" borderId="3" xfId="0" applyBorder="1" applyAlignment="1" applyProtection="1">
      <alignment horizontal="center"/>
      <protection locked="0"/>
    </xf>
    <xf numFmtId="0" fontId="0" fillId="5" borderId="6" xfId="0" applyFill="1" applyBorder="1" applyAlignment="1" applyProtection="1">
      <alignment horizontal="center"/>
      <protection locked="0"/>
    </xf>
    <xf numFmtId="0" fontId="0" fillId="0" borderId="6" xfId="0" applyBorder="1" applyAlignment="1" applyProtection="1">
      <alignment horizontal="center"/>
      <protection locked="0"/>
    </xf>
    <xf numFmtId="0" fontId="0" fillId="5" borderId="9" xfId="0" applyFill="1" applyBorder="1" applyAlignment="1" applyProtection="1">
      <alignment horizontal="center"/>
      <protection locked="0"/>
    </xf>
    <xf numFmtId="0" fontId="24" fillId="0" borderId="0" xfId="4" applyAlignment="1" applyProtection="1"/>
    <xf numFmtId="166" fontId="0" fillId="0" borderId="38" xfId="2" applyNumberFormat="1" applyFont="1" applyBorder="1" applyAlignment="1" applyProtection="1">
      <alignment horizontal="center" vertical="center"/>
      <protection locked="0"/>
    </xf>
    <xf numFmtId="166" fontId="0" fillId="0" borderId="63" xfId="2" applyNumberFormat="1" applyFont="1" applyBorder="1" applyAlignment="1" applyProtection="1">
      <alignment horizontal="center" vertical="center"/>
      <protection locked="0"/>
    </xf>
    <xf numFmtId="0" fontId="16" fillId="3" borderId="2" xfId="0" applyFont="1" applyFill="1" applyBorder="1" applyAlignment="1">
      <alignment horizontal="center" vertical="center" wrapText="1"/>
    </xf>
    <xf numFmtId="166" fontId="11" fillId="3" borderId="31" xfId="2" applyNumberFormat="1" applyFont="1" applyFill="1" applyBorder="1" applyAlignment="1">
      <alignment horizontal="center" vertical="center"/>
    </xf>
    <xf numFmtId="168" fontId="0" fillId="0" borderId="1" xfId="0" applyNumberFormat="1" applyFont="1" applyBorder="1" applyAlignment="1">
      <alignment horizontal="center" vertical="center"/>
    </xf>
    <xf numFmtId="0" fontId="11" fillId="3" borderId="31" xfId="0" applyFont="1" applyFill="1" applyBorder="1" applyAlignment="1">
      <alignment horizontal="center" vertical="center" wrapText="1"/>
    </xf>
    <xf numFmtId="169" fontId="11" fillId="3" borderId="3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7" xfId="0" applyBorder="1" applyAlignment="1" applyProtection="1">
      <alignment horizontal="center" vertical="center"/>
      <protection locked="0"/>
    </xf>
    <xf numFmtId="166" fontId="0" fillId="0" borderId="60" xfId="2" applyNumberFormat="1" applyFont="1" applyBorder="1" applyAlignment="1" applyProtection="1">
      <alignment horizontal="center" vertical="center"/>
      <protection locked="0"/>
    </xf>
    <xf numFmtId="166" fontId="3" fillId="0" borderId="52" xfId="2" applyNumberFormat="1" applyFont="1" applyBorder="1" applyAlignment="1">
      <alignment horizontal="center" vertical="center"/>
    </xf>
    <xf numFmtId="166" fontId="3" fillId="0" borderId="5" xfId="2" applyNumberFormat="1" applyFont="1" applyBorder="1" applyAlignment="1">
      <alignment horizontal="center" vertical="center"/>
    </xf>
    <xf numFmtId="166" fontId="3" fillId="0" borderId="8" xfId="2" applyNumberFormat="1" applyFont="1" applyBorder="1" applyAlignment="1">
      <alignment horizontal="center" vertical="center"/>
    </xf>
    <xf numFmtId="0" fontId="0" fillId="0" borderId="0" xfId="0" applyFont="1" applyAlignment="1">
      <alignment horizontal="center" vertical="top"/>
    </xf>
    <xf numFmtId="166" fontId="0" fillId="0" borderId="58" xfId="2" applyNumberFormat="1" applyFont="1" applyBorder="1" applyAlignment="1" applyProtection="1">
      <alignment horizontal="center" vertical="center"/>
      <protection locked="0"/>
    </xf>
    <xf numFmtId="0" fontId="20" fillId="7" borderId="42" xfId="0" applyFont="1" applyFill="1" applyBorder="1" applyAlignment="1">
      <alignment horizontal="center" vertical="center" wrapText="1"/>
    </xf>
    <xf numFmtId="0" fontId="11" fillId="3" borderId="2" xfId="0" applyNumberFormat="1" applyFont="1" applyFill="1" applyBorder="1" applyAlignment="1" applyProtection="1">
      <alignment horizontal="center" vertical="center"/>
      <protection locked="0"/>
    </xf>
    <xf numFmtId="166" fontId="0" fillId="5" borderId="36" xfId="2" applyNumberFormat="1" applyFont="1" applyFill="1" applyBorder="1" applyAlignment="1" applyProtection="1">
      <alignment horizontal="center" vertical="center"/>
      <protection locked="0"/>
    </xf>
    <xf numFmtId="166" fontId="0" fillId="0" borderId="36" xfId="2" applyNumberFormat="1" applyFont="1" applyBorder="1" applyAlignment="1" applyProtection="1">
      <alignment horizontal="center" vertical="center"/>
      <protection locked="0"/>
    </xf>
    <xf numFmtId="166" fontId="0" fillId="5" borderId="37" xfId="2" applyNumberFormat="1" applyFont="1" applyFill="1" applyBorder="1" applyAlignment="1" applyProtection="1">
      <alignment horizontal="center" vertical="center"/>
      <protection locked="0"/>
    </xf>
    <xf numFmtId="0" fontId="3" fillId="0" borderId="0" xfId="0" applyFont="1" applyAlignment="1">
      <alignment horizontal="left" vertical="center"/>
    </xf>
    <xf numFmtId="0" fontId="61" fillId="0" borderId="0" xfId="0" applyFont="1" applyAlignment="1">
      <alignment horizontal="left" vertical="center"/>
    </xf>
    <xf numFmtId="167" fontId="0" fillId="0" borderId="2" xfId="0" applyNumberFormat="1" applyBorder="1" applyAlignment="1" applyProtection="1">
      <alignment horizontal="center" vertical="center"/>
      <protection locked="0"/>
    </xf>
    <xf numFmtId="0" fontId="11" fillId="3" borderId="33" xfId="0" applyNumberFormat="1" applyFont="1" applyFill="1" applyBorder="1" applyAlignment="1" applyProtection="1">
      <alignment horizontal="center" vertical="center"/>
      <protection locked="0"/>
    </xf>
    <xf numFmtId="166" fontId="11" fillId="3" borderId="33" xfId="2" applyNumberFormat="1" applyFont="1" applyFill="1" applyBorder="1" applyAlignment="1" applyProtection="1">
      <alignment horizontal="center"/>
      <protection locked="0"/>
    </xf>
    <xf numFmtId="0" fontId="3" fillId="0" borderId="0" xfId="0" applyFont="1" applyAlignment="1">
      <alignment horizontal="center" vertical="top" wrapText="1"/>
    </xf>
    <xf numFmtId="168" fontId="5" fillId="0" borderId="0" xfId="0" applyNumberFormat="1" applyFont="1" applyBorder="1" applyAlignment="1">
      <alignment horizontal="center" vertical="center"/>
    </xf>
    <xf numFmtId="169" fontId="5" fillId="0" borderId="6" xfId="0" applyNumberFormat="1" applyFont="1" applyFill="1" applyBorder="1" applyAlignment="1">
      <alignment horizontal="center" vertical="center"/>
    </xf>
    <xf numFmtId="169" fontId="5" fillId="5" borderId="6" xfId="0" applyNumberFormat="1" applyFont="1" applyFill="1" applyBorder="1" applyAlignment="1">
      <alignment horizontal="center" vertical="center"/>
    </xf>
    <xf numFmtId="169" fontId="5" fillId="0" borderId="9" xfId="0" applyNumberFormat="1" applyFont="1" applyFill="1" applyBorder="1" applyAlignment="1">
      <alignment horizontal="center" vertical="center"/>
    </xf>
    <xf numFmtId="169" fontId="0" fillId="0" borderId="52" xfId="0" applyNumberFormat="1" applyFont="1" applyBorder="1" applyAlignment="1">
      <alignment horizontal="center" vertical="center"/>
    </xf>
    <xf numFmtId="169" fontId="0" fillId="0" borderId="5" xfId="0" applyNumberFormat="1" applyFont="1" applyBorder="1" applyAlignment="1">
      <alignment horizontal="center" vertical="center"/>
    </xf>
    <xf numFmtId="169" fontId="0" fillId="0" borderId="8" xfId="0" applyNumberFormat="1" applyFont="1" applyBorder="1" applyAlignment="1">
      <alignment horizontal="center" vertical="center"/>
    </xf>
    <xf numFmtId="0" fontId="16" fillId="3" borderId="2" xfId="0" applyFont="1" applyFill="1" applyBorder="1" applyAlignment="1">
      <alignment horizontal="center" vertical="center" wrapText="1"/>
    </xf>
    <xf numFmtId="169" fontId="5" fillId="0" borderId="3" xfId="0" applyNumberFormat="1" applyFont="1" applyFill="1" applyBorder="1" applyAlignment="1">
      <alignment horizontal="center" vertical="center"/>
    </xf>
    <xf numFmtId="169" fontId="5" fillId="0" borderId="14" xfId="0" applyNumberFormat="1" applyFont="1" applyFill="1" applyBorder="1" applyAlignment="1">
      <alignment horizontal="center" vertical="center"/>
    </xf>
    <xf numFmtId="169" fontId="5" fillId="0" borderId="13" xfId="0" applyNumberFormat="1" applyFont="1" applyFill="1" applyBorder="1" applyAlignment="1">
      <alignment horizontal="center" vertical="center"/>
    </xf>
    <xf numFmtId="169" fontId="5" fillId="0" borderId="15" xfId="0" applyNumberFormat="1" applyFont="1" applyFill="1" applyBorder="1" applyAlignment="1">
      <alignment horizontal="center" vertical="center"/>
    </xf>
    <xf numFmtId="169" fontId="5" fillId="0" borderId="2" xfId="0" applyNumberFormat="1" applyFont="1" applyFill="1" applyBorder="1" applyAlignment="1">
      <alignment horizontal="center" vertical="center"/>
    </xf>
    <xf numFmtId="169" fontId="5" fillId="0" borderId="50" xfId="0" applyNumberFormat="1" applyFont="1" applyFill="1" applyBorder="1" applyAlignment="1">
      <alignment horizontal="center" vertical="center"/>
    </xf>
    <xf numFmtId="169" fontId="5" fillId="0" borderId="51" xfId="2" applyNumberFormat="1" applyFont="1" applyFill="1" applyBorder="1" applyAlignment="1">
      <alignment horizontal="center" vertical="center"/>
    </xf>
    <xf numFmtId="169" fontId="5" fillId="0" borderId="10" xfId="2" applyNumberFormat="1" applyFont="1" applyFill="1" applyBorder="1" applyAlignment="1">
      <alignment horizontal="center" vertical="center"/>
    </xf>
    <xf numFmtId="169" fontId="5" fillId="0" borderId="7" xfId="2" applyNumberFormat="1" applyFont="1" applyFill="1" applyBorder="1" applyAlignment="1">
      <alignment horizontal="center" vertical="center"/>
    </xf>
    <xf numFmtId="168" fontId="0" fillId="0" borderId="0" xfId="0" applyNumberFormat="1" applyFont="1" applyAlignment="1">
      <alignment vertical="center"/>
    </xf>
    <xf numFmtId="0" fontId="0" fillId="0" borderId="0" xfId="0" applyAlignment="1" applyProtection="1">
      <alignment horizontal="center"/>
      <protection hidden="1"/>
    </xf>
    <xf numFmtId="0" fontId="0" fillId="0" borderId="0" xfId="0" applyAlignment="1" applyProtection="1">
      <alignment horizontal="center" wrapText="1"/>
      <protection hidden="1"/>
    </xf>
    <xf numFmtId="174" fontId="0" fillId="0" borderId="0" xfId="0" applyNumberFormat="1" applyAlignment="1" applyProtection="1">
      <alignment horizontal="center"/>
      <protection hidden="1"/>
    </xf>
    <xf numFmtId="37" fontId="0" fillId="0" borderId="0" xfId="0" applyNumberFormat="1" applyAlignment="1" applyProtection="1">
      <alignment horizontal="center"/>
      <protection hidden="1"/>
    </xf>
    <xf numFmtId="166" fontId="0" fillId="0" borderId="0" xfId="2" applyNumberFormat="1" applyFont="1" applyAlignment="1" applyProtection="1">
      <alignment horizontal="center"/>
      <protection hidden="1"/>
    </xf>
    <xf numFmtId="0" fontId="3" fillId="0" borderId="0" xfId="0" applyFont="1" applyAlignment="1">
      <alignment vertical="top"/>
    </xf>
    <xf numFmtId="168" fontId="3" fillId="0" borderId="1" xfId="0" applyNumberFormat="1" applyFont="1" applyBorder="1" applyAlignment="1">
      <alignment vertical="top" wrapText="1"/>
    </xf>
    <xf numFmtId="168" fontId="3" fillId="0" borderId="45" xfId="0" applyNumberFormat="1" applyFont="1" applyBorder="1" applyAlignment="1">
      <alignment vertical="top" wrapText="1"/>
    </xf>
    <xf numFmtId="0" fontId="20" fillId="0" borderId="1" xfId="0" applyFont="1" applyFill="1" applyBorder="1" applyAlignment="1">
      <alignment horizontal="left" vertical="center"/>
    </xf>
    <xf numFmtId="0" fontId="20" fillId="0" borderId="45" xfId="0" applyFont="1" applyFill="1" applyBorder="1" applyAlignment="1">
      <alignment horizontal="left" vertical="center"/>
    </xf>
    <xf numFmtId="0" fontId="0" fillId="0" borderId="0" xfId="0" applyProtection="1">
      <protection locked="0"/>
    </xf>
    <xf numFmtId="0" fontId="5" fillId="0" borderId="0" xfId="0" applyFont="1" applyAlignment="1" applyProtection="1">
      <alignment horizontal="center" vertical="center"/>
      <protection locked="0"/>
    </xf>
    <xf numFmtId="0" fontId="0" fillId="0" borderId="0" xfId="0" applyAlignment="1" applyProtection="1">
      <alignment horizontal="center" vertical="center" wrapText="1"/>
      <protection locked="0"/>
    </xf>
    <xf numFmtId="0" fontId="17" fillId="0" borderId="54" xfId="0" applyFont="1" applyFill="1" applyBorder="1" applyAlignment="1" applyProtection="1">
      <alignment horizontal="left" vertical="center"/>
      <protection locked="0"/>
    </xf>
    <xf numFmtId="0" fontId="46" fillId="0" borderId="0" xfId="0" applyFont="1" applyAlignment="1" applyProtection="1">
      <alignment horizontal="right"/>
      <protection locked="0" hidden="1"/>
    </xf>
    <xf numFmtId="0" fontId="3" fillId="0" borderId="0" xfId="0" applyFont="1" applyProtection="1">
      <protection locked="0" hidden="1"/>
    </xf>
    <xf numFmtId="0" fontId="0" fillId="0" borderId="5" xfId="0" applyBorder="1" applyProtection="1">
      <protection locked="0"/>
    </xf>
    <xf numFmtId="0" fontId="63" fillId="0" borderId="1" xfId="0" applyFont="1" applyBorder="1" applyAlignment="1">
      <alignment horizontal="left" vertical="center"/>
    </xf>
    <xf numFmtId="0" fontId="64" fillId="0" borderId="0" xfId="0" applyFont="1" applyAlignment="1">
      <alignment horizontal="right" vertical="center"/>
    </xf>
    <xf numFmtId="0" fontId="64" fillId="0" borderId="1" xfId="0" applyFont="1" applyBorder="1" applyAlignment="1">
      <alignment horizontal="left" vertical="center"/>
    </xf>
    <xf numFmtId="0" fontId="64" fillId="0" borderId="1" xfId="0" applyFont="1" applyBorder="1" applyAlignment="1">
      <alignment horizontal="center" vertical="center"/>
    </xf>
    <xf numFmtId="0" fontId="63" fillId="0" borderId="0" xfId="0" applyFont="1" applyAlignment="1">
      <alignment horizontal="right" vertical="center"/>
    </xf>
    <xf numFmtId="0" fontId="1" fillId="0" borderId="0" xfId="0" applyFont="1" applyAlignment="1">
      <alignment horizontal="right" vertical="center"/>
    </xf>
    <xf numFmtId="0" fontId="65" fillId="0" borderId="0" xfId="0" applyFont="1" applyAlignment="1">
      <alignment horizontal="right" vertical="center"/>
    </xf>
    <xf numFmtId="0" fontId="65" fillId="0" borderId="1" xfId="0" applyFont="1" applyBorder="1" applyAlignment="1">
      <alignment horizontal="left" vertical="center"/>
    </xf>
    <xf numFmtId="0" fontId="1" fillId="0" borderId="1" xfId="0" applyFont="1" applyBorder="1" applyAlignment="1">
      <alignment horizontal="left" vertical="center"/>
    </xf>
    <xf numFmtId="0" fontId="63" fillId="0" borderId="0" xfId="6" applyFont="1"/>
    <xf numFmtId="0" fontId="0" fillId="0" borderId="1" xfId="0" applyBorder="1"/>
    <xf numFmtId="0" fontId="0" fillId="0" borderId="45" xfId="0" applyBorder="1"/>
    <xf numFmtId="0" fontId="3" fillId="0" borderId="31" xfId="0" applyFont="1" applyBorder="1" applyAlignment="1">
      <alignment horizontal="left" vertical="center"/>
    </xf>
    <xf numFmtId="0" fontId="0" fillId="0" borderId="0" xfId="0" applyProtection="1">
      <protection locked="0"/>
    </xf>
    <xf numFmtId="0" fontId="0" fillId="0" borderId="54" xfId="0" applyBorder="1" applyProtection="1">
      <protection locked="0"/>
    </xf>
    <xf numFmtId="0" fontId="0" fillId="0" borderId="0" xfId="0" applyFill="1" applyBorder="1" applyAlignment="1">
      <alignment vertical="center" wrapText="1"/>
    </xf>
    <xf numFmtId="0" fontId="0" fillId="0" borderId="0" xfId="0" applyFill="1" applyBorder="1" applyAlignment="1">
      <alignment vertical="top"/>
    </xf>
    <xf numFmtId="0" fontId="17" fillId="0" borderId="1" xfId="0" applyFont="1" applyFill="1" applyBorder="1" applyAlignment="1" applyProtection="1">
      <alignment horizontal="left" vertical="center"/>
      <protection locked="0"/>
    </xf>
    <xf numFmtId="0" fontId="35" fillId="0" borderId="0" xfId="0" applyFont="1" applyFill="1" applyBorder="1" applyAlignment="1">
      <alignment horizontal="center" vertical="center"/>
    </xf>
    <xf numFmtId="0" fontId="13" fillId="3" borderId="33" xfId="0" applyFont="1" applyFill="1" applyBorder="1" applyAlignment="1">
      <alignment horizontal="left" vertical="center"/>
    </xf>
    <xf numFmtId="169" fontId="0" fillId="0" borderId="20" xfId="0" applyNumberFormat="1" applyFont="1" applyBorder="1" applyAlignment="1" applyProtection="1">
      <alignment horizontal="center" vertical="center"/>
      <protection locked="0"/>
    </xf>
    <xf numFmtId="169" fontId="0" fillId="0" borderId="22" xfId="0" applyNumberFormat="1" applyFont="1" applyBorder="1" applyAlignment="1" applyProtection="1">
      <alignment horizontal="center" vertical="center"/>
      <protection locked="0"/>
    </xf>
    <xf numFmtId="169" fontId="0" fillId="0" borderId="24" xfId="0" applyNumberFormat="1" applyFont="1" applyBorder="1" applyAlignment="1" applyProtection="1">
      <alignment horizontal="center" vertical="center"/>
      <protection locked="0"/>
    </xf>
    <xf numFmtId="0" fontId="3" fillId="0" borderId="32" xfId="0" applyFont="1" applyBorder="1" applyAlignment="1">
      <alignment vertical="center"/>
    </xf>
    <xf numFmtId="0" fontId="3" fillId="0" borderId="33" xfId="0" applyFont="1" applyBorder="1" applyAlignment="1">
      <alignment vertical="center"/>
    </xf>
    <xf numFmtId="0" fontId="3" fillId="0" borderId="1" xfId="0" applyFont="1" applyBorder="1" applyAlignment="1">
      <alignment vertical="top" wrapText="1"/>
    </xf>
    <xf numFmtId="0" fontId="3" fillId="0" borderId="45" xfId="0" applyFont="1" applyBorder="1" applyAlignment="1">
      <alignment vertical="top" wrapText="1"/>
    </xf>
    <xf numFmtId="0" fontId="0" fillId="0" borderId="1" xfId="0" applyFont="1" applyBorder="1" applyAlignment="1">
      <alignment vertical="top" wrapText="1"/>
    </xf>
    <xf numFmtId="0" fontId="0" fillId="0" borderId="0" xfId="0" applyAlignment="1">
      <alignment vertical="top" wrapText="1"/>
    </xf>
    <xf numFmtId="0" fontId="11" fillId="3" borderId="33" xfId="0" applyFont="1" applyFill="1" applyBorder="1" applyAlignment="1">
      <alignment horizontal="center" vertical="center" wrapText="1"/>
    </xf>
    <xf numFmtId="0" fontId="3" fillId="0" borderId="0" xfId="0" applyFont="1" applyFill="1" applyBorder="1" applyAlignment="1">
      <alignment vertical="top" wrapText="1"/>
    </xf>
    <xf numFmtId="0" fontId="0"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pplyProtection="1">
      <alignment vertical="top" wrapText="1"/>
      <protection locked="0"/>
    </xf>
    <xf numFmtId="0" fontId="0" fillId="0" borderId="25" xfId="0" applyBorder="1"/>
    <xf numFmtId="0" fontId="0" fillId="0" borderId="37" xfId="0" applyBorder="1"/>
    <xf numFmtId="166" fontId="3" fillId="0" borderId="3" xfId="2" applyNumberFormat="1" applyFont="1" applyBorder="1" applyAlignment="1" applyProtection="1">
      <alignment horizontal="center"/>
      <protection locked="0"/>
    </xf>
    <xf numFmtId="0" fontId="61" fillId="0" borderId="0" xfId="0" applyFont="1"/>
    <xf numFmtId="166" fontId="0" fillId="0" borderId="13" xfId="2" applyNumberFormat="1" applyFont="1" applyBorder="1" applyAlignment="1">
      <alignment horizontal="center"/>
    </xf>
    <xf numFmtId="0" fontId="2" fillId="0" borderId="25" xfId="4" applyFont="1" applyBorder="1" applyAlignment="1" applyProtection="1">
      <alignment horizontal="left" wrapText="1"/>
    </xf>
    <xf numFmtId="0" fontId="2" fillId="0" borderId="37" xfId="4" applyFont="1" applyBorder="1" applyAlignment="1" applyProtection="1">
      <alignment horizontal="left" wrapText="1"/>
    </xf>
    <xf numFmtId="166" fontId="0" fillId="0" borderId="3" xfId="2" applyNumberFormat="1" applyFont="1" applyBorder="1" applyAlignment="1">
      <alignment horizontal="center"/>
    </xf>
    <xf numFmtId="0" fontId="0" fillId="0" borderId="4" xfId="0" applyBorder="1" applyAlignment="1">
      <alignment horizontal="center"/>
    </xf>
    <xf numFmtId="166" fontId="0" fillId="0" borderId="6" xfId="2" applyNumberFormat="1" applyFont="1" applyBorder="1" applyAlignment="1">
      <alignment horizontal="center"/>
    </xf>
    <xf numFmtId="166" fontId="0" fillId="0" borderId="9" xfId="2" applyNumberFormat="1" applyFont="1" applyBorder="1" applyAlignment="1">
      <alignment horizontal="center"/>
    </xf>
    <xf numFmtId="5" fontId="0" fillId="0" borderId="26" xfId="1" applyNumberFormat="1" applyFont="1" applyBorder="1" applyAlignment="1" applyProtection="1">
      <alignment horizontal="center"/>
      <protection locked="0"/>
    </xf>
    <xf numFmtId="5" fontId="0" fillId="0" borderId="63" xfId="1" applyNumberFormat="1" applyFont="1" applyBorder="1" applyAlignment="1" applyProtection="1">
      <alignment horizontal="center"/>
      <protection locked="0"/>
    </xf>
    <xf numFmtId="5" fontId="17" fillId="5" borderId="27" xfId="1" applyNumberFormat="1" applyFont="1" applyFill="1" applyBorder="1" applyAlignment="1" applyProtection="1">
      <alignment horizontal="center"/>
      <protection locked="0"/>
    </xf>
    <xf numFmtId="5" fontId="17" fillId="5" borderId="38" xfId="1" applyNumberFormat="1" applyFont="1" applyFill="1" applyBorder="1" applyAlignment="1" applyProtection="1">
      <alignment horizontal="center"/>
      <protection locked="0"/>
    </xf>
    <xf numFmtId="5" fontId="0" fillId="0" borderId="27" xfId="1" applyNumberFormat="1" applyFont="1" applyBorder="1" applyAlignment="1" applyProtection="1">
      <alignment horizontal="center"/>
      <protection locked="0"/>
    </xf>
    <xf numFmtId="5" fontId="0" fillId="0" borderId="38" xfId="1" applyNumberFormat="1" applyFont="1" applyBorder="1" applyAlignment="1" applyProtection="1">
      <alignment horizontal="center"/>
      <protection locked="0"/>
    </xf>
    <xf numFmtId="0" fontId="0" fillId="0" borderId="54" xfId="0" applyFont="1" applyBorder="1" applyAlignment="1" applyProtection="1">
      <alignment vertical="top" wrapText="1"/>
      <protection locked="0"/>
    </xf>
    <xf numFmtId="0" fontId="0" fillId="0" borderId="76" xfId="0" applyFont="1" applyBorder="1" applyAlignment="1" applyProtection="1">
      <alignment vertical="center"/>
      <protection locked="0"/>
    </xf>
    <xf numFmtId="0" fontId="17" fillId="0" borderId="59" xfId="4" applyFont="1" applyBorder="1" applyAlignment="1" applyProtection="1">
      <alignment horizontal="center" vertical="top" wrapText="1"/>
      <protection locked="0"/>
    </xf>
    <xf numFmtId="164" fontId="3" fillId="0" borderId="41" xfId="0" applyNumberFormat="1" applyFont="1" applyBorder="1" applyAlignment="1">
      <alignment horizontal="center"/>
    </xf>
    <xf numFmtId="164" fontId="3" fillId="0" borderId="40" xfId="0" applyNumberFormat="1" applyFont="1" applyBorder="1" applyAlignment="1">
      <alignment horizontal="center"/>
    </xf>
    <xf numFmtId="164" fontId="3" fillId="0" borderId="42" xfId="0" applyNumberFormat="1" applyFont="1" applyBorder="1" applyAlignment="1">
      <alignment horizontal="center"/>
    </xf>
    <xf numFmtId="0" fontId="0" fillId="0" borderId="21" xfId="0" applyBorder="1" applyAlignment="1">
      <alignment horizontal="left" vertical="center"/>
    </xf>
    <xf numFmtId="0" fontId="0" fillId="0" borderId="47" xfId="0" applyBorder="1"/>
    <xf numFmtId="0" fontId="0" fillId="0" borderId="35" xfId="0" applyBorder="1"/>
    <xf numFmtId="0" fontId="3" fillId="0" borderId="5" xfId="0" applyFont="1" applyBorder="1" applyAlignment="1" applyProtection="1">
      <alignment horizontal="center"/>
      <protection locked="0"/>
    </xf>
    <xf numFmtId="0" fontId="0" fillId="0" borderId="44" xfId="0" applyBorder="1" applyAlignment="1"/>
    <xf numFmtId="0" fontId="0" fillId="0" borderId="47" xfId="0" applyBorder="1" applyAlignment="1"/>
    <xf numFmtId="0" fontId="0" fillId="0" borderId="35" xfId="0" applyBorder="1" applyAlignment="1"/>
    <xf numFmtId="0" fontId="0" fillId="0" borderId="24" xfId="0" applyFont="1" applyBorder="1" applyAlignment="1" applyProtection="1">
      <alignment vertical="top" wrapText="1"/>
      <protection locked="0"/>
    </xf>
    <xf numFmtId="0" fontId="3" fillId="0" borderId="25" xfId="0" applyFont="1" applyBorder="1" applyAlignment="1">
      <alignment vertical="top" wrapText="1"/>
    </xf>
    <xf numFmtId="0" fontId="3" fillId="0" borderId="37" xfId="0" applyFont="1" applyBorder="1" applyAlignment="1">
      <alignment vertical="top" wrapText="1"/>
    </xf>
    <xf numFmtId="0" fontId="3" fillId="0" borderId="25" xfId="0" applyFont="1" applyBorder="1" applyAlignment="1">
      <alignment horizontal="left"/>
    </xf>
    <xf numFmtId="0" fontId="0" fillId="0" borderId="37" xfId="0" applyFont="1" applyBorder="1" applyAlignment="1" applyProtection="1">
      <alignment horizontal="center"/>
      <protection locked="0"/>
    </xf>
    <xf numFmtId="0" fontId="0" fillId="0" borderId="24" xfId="0" applyFont="1" applyBorder="1" applyAlignment="1" applyProtection="1">
      <alignment horizontal="left"/>
      <protection locked="0"/>
    </xf>
    <xf numFmtId="0" fontId="3" fillId="0" borderId="25" xfId="0" applyFont="1" applyBorder="1" applyAlignment="1">
      <alignment horizontal="left" vertical="top"/>
    </xf>
    <xf numFmtId="0" fontId="0" fillId="0" borderId="25" xfId="0" applyFont="1" applyBorder="1" applyAlignment="1" applyProtection="1">
      <alignment horizontal="center" vertical="top"/>
      <protection locked="0"/>
    </xf>
    <xf numFmtId="0" fontId="3" fillId="0" borderId="25" xfId="0" applyFont="1" applyBorder="1" applyAlignment="1">
      <alignment vertical="top"/>
    </xf>
    <xf numFmtId="0" fontId="3" fillId="0" borderId="37" xfId="0" applyFont="1" applyBorder="1" applyAlignment="1">
      <alignment vertical="top"/>
    </xf>
    <xf numFmtId="0" fontId="0" fillId="0" borderId="24" xfId="0" applyFont="1" applyBorder="1" applyAlignment="1" applyProtection="1">
      <alignment horizontal="left" vertical="top"/>
      <protection locked="0"/>
    </xf>
    <xf numFmtId="0" fontId="0" fillId="0" borderId="24" xfId="0" applyFont="1" applyBorder="1" applyAlignment="1" applyProtection="1">
      <alignment vertical="center"/>
      <protection locked="0"/>
    </xf>
    <xf numFmtId="0" fontId="0" fillId="0" borderId="25" xfId="0" applyFont="1" applyBorder="1" applyAlignment="1">
      <alignment vertical="center"/>
    </xf>
    <xf numFmtId="0" fontId="0" fillId="0" borderId="37" xfId="0" applyFont="1" applyBorder="1" applyAlignment="1">
      <alignment vertical="center"/>
    </xf>
    <xf numFmtId="166" fontId="5" fillId="0" borderId="50" xfId="2" applyNumberFormat="1" applyFont="1" applyBorder="1" applyAlignment="1" applyProtection="1">
      <alignment horizontal="center"/>
      <protection locked="0"/>
    </xf>
    <xf numFmtId="166" fontId="5" fillId="0" borderId="15" xfId="2" applyNumberFormat="1" applyFont="1" applyBorder="1" applyAlignment="1" applyProtection="1">
      <alignment horizontal="center"/>
      <protection locked="0"/>
    </xf>
    <xf numFmtId="0" fontId="18" fillId="3" borderId="31" xfId="0" applyFont="1" applyFill="1" applyBorder="1" applyAlignment="1">
      <alignment horizontal="left" vertical="center"/>
    </xf>
    <xf numFmtId="0" fontId="0" fillId="0" borderId="21" xfId="0" applyBorder="1" applyAlignment="1">
      <alignment horizontal="left" vertical="center"/>
    </xf>
    <xf numFmtId="0" fontId="3" fillId="0" borderId="49" xfId="0" applyFont="1" applyBorder="1"/>
    <xf numFmtId="0" fontId="0" fillId="0" borderId="46" xfId="0" applyBorder="1"/>
    <xf numFmtId="0" fontId="3" fillId="0" borderId="44" xfId="0" applyFont="1" applyBorder="1"/>
    <xf numFmtId="0" fontId="1" fillId="0" borderId="0" xfId="0" applyFont="1"/>
    <xf numFmtId="0" fontId="35" fillId="3" borderId="32" xfId="0" applyFont="1" applyFill="1" applyBorder="1" applyAlignment="1">
      <alignment vertical="center"/>
    </xf>
    <xf numFmtId="0" fontId="35" fillId="3" borderId="33" xfId="0" applyFont="1" applyFill="1" applyBorder="1" applyAlignment="1">
      <alignment vertical="center"/>
    </xf>
    <xf numFmtId="0" fontId="11" fillId="3" borderId="2" xfId="0" applyFont="1" applyFill="1" applyBorder="1" applyAlignment="1">
      <alignment horizontal="center" vertical="center" wrapText="1"/>
    </xf>
    <xf numFmtId="0" fontId="17" fillId="0" borderId="49" xfId="4" applyFont="1" applyBorder="1" applyAlignment="1" applyProtection="1">
      <alignment horizontal="center" vertical="top" wrapText="1"/>
      <protection locked="0"/>
    </xf>
    <xf numFmtId="0" fontId="0" fillId="0" borderId="0" xfId="0" applyBorder="1" applyProtection="1">
      <protection locked="0"/>
    </xf>
    <xf numFmtId="0" fontId="11" fillId="3" borderId="2" xfId="0" applyFont="1" applyFill="1" applyBorder="1" applyAlignment="1">
      <alignment horizontal="left" vertical="center" wrapText="1"/>
    </xf>
    <xf numFmtId="0" fontId="12" fillId="3" borderId="33" xfId="0" applyFont="1" applyFill="1" applyBorder="1" applyAlignment="1">
      <alignment vertical="center"/>
    </xf>
    <xf numFmtId="166" fontId="3" fillId="7" borderId="33" xfId="2" applyNumberFormat="1" applyFont="1" applyFill="1" applyBorder="1" applyAlignment="1">
      <alignment horizontal="center" vertical="center"/>
    </xf>
    <xf numFmtId="0" fontId="0" fillId="0" borderId="1" xfId="0" applyFont="1" applyBorder="1" applyAlignment="1">
      <alignment horizontal="left" vertical="center"/>
    </xf>
    <xf numFmtId="0" fontId="67" fillId="5" borderId="20" xfId="0" applyFont="1" applyFill="1" applyBorder="1" applyAlignment="1">
      <alignment horizontal="right" vertical="center"/>
    </xf>
    <xf numFmtId="0" fontId="67" fillId="0" borderId="24" xfId="0" applyFont="1" applyFill="1" applyBorder="1" applyAlignment="1">
      <alignment horizontal="right" vertical="center"/>
    </xf>
    <xf numFmtId="0" fontId="68" fillId="0" borderId="0" xfId="4" applyFont="1" applyAlignment="1" applyProtection="1">
      <alignment horizontal="left" vertical="center"/>
    </xf>
    <xf numFmtId="168" fontId="21" fillId="0" borderId="0" xfId="0" applyNumberFormat="1" applyFont="1" applyAlignment="1">
      <alignment horizontal="left"/>
    </xf>
    <xf numFmtId="168" fontId="21" fillId="0" borderId="0" xfId="0" quotePrefix="1" applyNumberFormat="1" applyFont="1" applyAlignment="1">
      <alignment horizontal="right" vertical="center"/>
    </xf>
    <xf numFmtId="0" fontId="3" fillId="0" borderId="1" xfId="0" applyFont="1" applyBorder="1" applyAlignment="1">
      <alignment horizontal="left" vertical="top" wrapText="1"/>
    </xf>
    <xf numFmtId="0" fontId="3" fillId="0" borderId="45" xfId="0" applyFont="1" applyBorder="1" applyAlignment="1">
      <alignment horizontal="left" vertical="top" wrapText="1"/>
    </xf>
    <xf numFmtId="0" fontId="0" fillId="0" borderId="13" xfId="0" applyBorder="1" applyAlignment="1" applyProtection="1">
      <alignment horizontal="center"/>
      <protection locked="0"/>
    </xf>
    <xf numFmtId="0" fontId="0" fillId="5" borderId="13" xfId="0" applyFill="1" applyBorder="1" applyAlignment="1" applyProtection="1">
      <alignment horizontal="center"/>
      <protection locked="0"/>
    </xf>
    <xf numFmtId="166" fontId="0" fillId="0" borderId="2" xfId="2" applyNumberFormat="1" applyFont="1" applyFill="1" applyBorder="1" applyAlignment="1">
      <alignment horizontal="center"/>
    </xf>
    <xf numFmtId="0" fontId="17" fillId="5" borderId="67" xfId="0" applyFont="1" applyFill="1" applyBorder="1" applyAlignment="1" applyProtection="1">
      <alignment horizontal="center"/>
      <protection locked="0"/>
    </xf>
    <xf numFmtId="5" fontId="17" fillId="5" borderId="72" xfId="1" applyNumberFormat="1" applyFont="1" applyFill="1" applyBorder="1" applyAlignment="1" applyProtection="1">
      <alignment horizontal="center"/>
      <protection locked="0"/>
    </xf>
    <xf numFmtId="5" fontId="17" fillId="5" borderId="77" xfId="1" applyNumberFormat="1" applyFont="1" applyFill="1" applyBorder="1" applyAlignment="1" applyProtection="1">
      <alignment horizontal="center"/>
      <protection locked="0"/>
    </xf>
    <xf numFmtId="166" fontId="0" fillId="5" borderId="67" xfId="2" applyNumberFormat="1" applyFont="1" applyFill="1" applyBorder="1" applyAlignment="1">
      <alignment horizontal="center"/>
    </xf>
    <xf numFmtId="5" fontId="0" fillId="0" borderId="41" xfId="0" applyNumberFormat="1" applyBorder="1" applyAlignment="1">
      <alignment horizontal="center"/>
    </xf>
    <xf numFmtId="5" fontId="0" fillId="0" borderId="42" xfId="0" applyNumberFormat="1" applyBorder="1" applyAlignment="1">
      <alignment horizontal="center"/>
    </xf>
    <xf numFmtId="0" fontId="20" fillId="0" borderId="0" xfId="0" applyFont="1" applyFill="1" applyBorder="1" applyAlignment="1">
      <alignment horizontal="center"/>
    </xf>
    <xf numFmtId="0" fontId="17" fillId="0" borderId="0" xfId="0" applyFont="1" applyFill="1" applyBorder="1" applyAlignment="1">
      <alignment horizontal="center"/>
    </xf>
    <xf numFmtId="166" fontId="0" fillId="0" borderId="52" xfId="2" applyNumberFormat="1" applyFont="1" applyBorder="1" applyAlignment="1">
      <alignment horizontal="center"/>
    </xf>
    <xf numFmtId="166" fontId="0" fillId="0" borderId="5" xfId="2" applyNumberFormat="1" applyFont="1" applyBorder="1" applyAlignment="1">
      <alignment horizontal="center"/>
    </xf>
    <xf numFmtId="166" fontId="0" fillId="0" borderId="8" xfId="2" applyNumberFormat="1" applyFont="1" applyBorder="1" applyAlignment="1">
      <alignment horizontal="center"/>
    </xf>
    <xf numFmtId="166" fontId="3" fillId="0" borderId="67" xfId="2" applyNumberFormat="1" applyFont="1" applyBorder="1" applyAlignment="1" applyProtection="1">
      <alignment horizontal="center"/>
      <protection locked="0"/>
    </xf>
    <xf numFmtId="0" fontId="12" fillId="0" borderId="19" xfId="0" applyFont="1" applyBorder="1" applyAlignment="1" applyProtection="1">
      <alignment horizontal="center"/>
      <protection locked="0"/>
    </xf>
    <xf numFmtId="0" fontId="0" fillId="0" borderId="20" xfId="0" applyBorder="1" applyAlignment="1" applyProtection="1">
      <alignment horizontal="left" vertical="center"/>
      <protection locked="0"/>
    </xf>
    <xf numFmtId="0" fontId="0" fillId="5" borderId="22" xfId="0" applyFill="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5" borderId="24" xfId="0" applyFill="1" applyBorder="1" applyAlignment="1" applyProtection="1">
      <alignment horizontal="left" vertical="center"/>
      <protection locked="0"/>
    </xf>
    <xf numFmtId="0" fontId="0" fillId="0" borderId="54" xfId="0" applyFont="1" applyBorder="1" applyAlignment="1" applyProtection="1">
      <alignment horizontal="left" vertical="top" wrapText="1"/>
      <protection locked="0"/>
    </xf>
    <xf numFmtId="0" fontId="3" fillId="0" borderId="0" xfId="0" applyFont="1" applyBorder="1" applyAlignment="1">
      <alignment vertical="center"/>
    </xf>
    <xf numFmtId="0" fontId="0" fillId="0" borderId="0" xfId="0" applyFont="1" applyBorder="1" applyAlignment="1">
      <alignment vertical="center"/>
    </xf>
    <xf numFmtId="0" fontId="27" fillId="0" borderId="53" xfId="21" applyFont="1" applyBorder="1" applyAlignment="1" applyProtection="1">
      <alignment wrapText="1"/>
    </xf>
    <xf numFmtId="0" fontId="27" fillId="0" borderId="19" xfId="21" applyFont="1" applyBorder="1" applyAlignment="1" applyProtection="1">
      <alignment wrapText="1"/>
    </xf>
    <xf numFmtId="0" fontId="5" fillId="0" borderId="48" xfId="6" applyFont="1" applyBorder="1" applyAlignment="1"/>
    <xf numFmtId="0" fontId="27" fillId="0" borderId="54" xfId="21" applyFont="1" applyBorder="1" applyAlignment="1" applyProtection="1">
      <alignment wrapText="1"/>
    </xf>
    <xf numFmtId="0" fontId="27" fillId="0" borderId="1" xfId="21" applyFont="1" applyBorder="1" applyAlignment="1" applyProtection="1">
      <alignment wrapText="1"/>
    </xf>
    <xf numFmtId="0" fontId="5" fillId="0" borderId="45" xfId="6" applyFont="1" applyBorder="1" applyAlignment="1"/>
    <xf numFmtId="0" fontId="27" fillId="0" borderId="31" xfId="21" applyFont="1" applyBorder="1" applyAlignment="1" applyProtection="1">
      <alignment wrapText="1"/>
    </xf>
    <xf numFmtId="0" fontId="27" fillId="0" borderId="32" xfId="21" applyFont="1" applyBorder="1" applyAlignment="1" applyProtection="1">
      <alignment wrapText="1"/>
    </xf>
    <xf numFmtId="0" fontId="5" fillId="0" borderId="33" xfId="6" applyFont="1" applyBorder="1" applyAlignment="1"/>
    <xf numFmtId="0" fontId="27" fillId="0" borderId="31" xfId="21" applyFont="1" applyBorder="1" applyAlignment="1" applyProtection="1">
      <alignment vertical="center" wrapText="1"/>
    </xf>
    <xf numFmtId="0" fontId="27" fillId="0" borderId="32" xfId="21" applyFont="1" applyBorder="1" applyAlignment="1" applyProtection="1">
      <alignment vertical="center" wrapText="1"/>
    </xf>
    <xf numFmtId="0" fontId="5" fillId="0" borderId="33" xfId="6" applyFont="1" applyBorder="1" applyAlignment="1">
      <alignment vertical="center" wrapText="1"/>
    </xf>
    <xf numFmtId="0" fontId="5" fillId="0" borderId="33" xfId="6" applyFont="1" applyBorder="1" applyAlignment="1">
      <alignment vertical="center"/>
    </xf>
    <xf numFmtId="0" fontId="5" fillId="0" borderId="0" xfId="6" applyFont="1" applyBorder="1" applyAlignment="1">
      <alignment horizontal="left" wrapText="1" indent="1"/>
    </xf>
    <xf numFmtId="0" fontId="5" fillId="0" borderId="46" xfId="6" applyFont="1" applyBorder="1" applyAlignment="1">
      <alignment horizontal="left" wrapText="1" indent="1"/>
    </xf>
    <xf numFmtId="0" fontId="27" fillId="0" borderId="31" xfId="21" applyFont="1" applyFill="1" applyBorder="1" applyAlignment="1" applyProtection="1">
      <alignment vertical="center" wrapText="1"/>
    </xf>
    <xf numFmtId="0" fontId="27" fillId="0" borderId="32" xfId="21" applyFont="1" applyFill="1" applyBorder="1" applyAlignment="1" applyProtection="1">
      <alignment vertical="center" wrapText="1"/>
    </xf>
    <xf numFmtId="0" fontId="5" fillId="0" borderId="32" xfId="6" applyFont="1" applyBorder="1" applyAlignment="1">
      <alignment vertical="center"/>
    </xf>
    <xf numFmtId="0" fontId="17" fillId="0" borderId="31" xfId="4" applyFont="1" applyBorder="1" applyAlignment="1" applyProtection="1">
      <alignment wrapText="1"/>
    </xf>
    <xf numFmtId="0" fontId="17" fillId="0" borderId="32" xfId="4" applyFont="1" applyBorder="1" applyAlignment="1" applyProtection="1">
      <alignment wrapText="1"/>
    </xf>
    <xf numFmtId="0" fontId="17" fillId="0" borderId="33" xfId="4" applyFont="1" applyBorder="1" applyAlignment="1" applyProtection="1"/>
    <xf numFmtId="0" fontId="27" fillId="0" borderId="31" xfId="50" applyFont="1" applyBorder="1" applyAlignment="1" applyProtection="1">
      <alignment wrapText="1"/>
    </xf>
    <xf numFmtId="0" fontId="27" fillId="0" borderId="32" xfId="50" applyFont="1" applyBorder="1" applyAlignment="1" applyProtection="1">
      <alignment wrapText="1"/>
    </xf>
    <xf numFmtId="0" fontId="27" fillId="0" borderId="33" xfId="50" applyFont="1" applyBorder="1" applyAlignment="1" applyProtection="1"/>
    <xf numFmtId="0" fontId="5" fillId="0" borderId="31" xfId="6" applyFont="1" applyBorder="1" applyAlignment="1" applyProtection="1"/>
    <xf numFmtId="0" fontId="5" fillId="0" borderId="32" xfId="6" applyFont="1" applyBorder="1" applyAlignment="1" applyProtection="1"/>
    <xf numFmtId="0" fontId="17" fillId="0" borderId="54" xfId="4" applyFont="1" applyBorder="1" applyAlignment="1" applyProtection="1">
      <alignment wrapText="1"/>
    </xf>
    <xf numFmtId="0" fontId="17" fillId="0" borderId="1" xfId="4" applyFont="1" applyBorder="1" applyAlignment="1" applyProtection="1">
      <alignment wrapText="1"/>
    </xf>
    <xf numFmtId="0" fontId="17" fillId="0" borderId="45" xfId="4" applyFont="1" applyBorder="1" applyAlignment="1" applyProtection="1"/>
    <xf numFmtId="0" fontId="5" fillId="0" borderId="31" xfId="6" applyFont="1" applyBorder="1" applyAlignment="1" applyProtection="1">
      <alignment horizontal="left" wrapText="1"/>
      <protection locked="0"/>
    </xf>
    <xf numFmtId="0" fontId="5" fillId="0" borderId="32" xfId="6" applyFont="1" applyBorder="1" applyAlignment="1" applyProtection="1">
      <alignment horizontal="left" wrapText="1"/>
      <protection locked="0"/>
    </xf>
    <xf numFmtId="0" fontId="5" fillId="0" borderId="33" xfId="6" applyFont="1" applyBorder="1" applyAlignment="1" applyProtection="1">
      <alignment horizontal="left" wrapText="1"/>
      <protection locked="0"/>
    </xf>
    <xf numFmtId="0" fontId="18" fillId="3" borderId="31"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0" fillId="0" borderId="0" xfId="0" applyAlignment="1">
      <alignment horizontal="left" vertical="top" wrapText="1"/>
    </xf>
    <xf numFmtId="0" fontId="11" fillId="3" borderId="2" xfId="0" applyFont="1" applyFill="1" applyBorder="1" applyAlignment="1">
      <alignment horizontal="left" vertical="top" wrapText="1"/>
    </xf>
    <xf numFmtId="0" fontId="11" fillId="3" borderId="2" xfId="0" applyFont="1" applyFill="1" applyBorder="1" applyAlignment="1">
      <alignment horizontal="left"/>
    </xf>
    <xf numFmtId="0" fontId="0" fillId="0" borderId="0" xfId="0" applyAlignment="1">
      <alignment horizontal="left" wrapText="1"/>
    </xf>
    <xf numFmtId="0" fontId="0" fillId="0" borderId="0" xfId="0" applyBorder="1" applyAlignment="1">
      <alignment horizontal="left" wrapText="1"/>
    </xf>
    <xf numFmtId="0" fontId="58" fillId="0" borderId="19"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0" fillId="0" borderId="38" xfId="0" applyFont="1" applyBorder="1" applyAlignment="1" applyProtection="1">
      <alignment horizontal="left"/>
      <protection locked="0"/>
    </xf>
    <xf numFmtId="0" fontId="0" fillId="0" borderId="27" xfId="0" applyFont="1" applyBorder="1" applyAlignment="1" applyProtection="1">
      <alignment horizontal="left"/>
      <protection locked="0"/>
    </xf>
    <xf numFmtId="0" fontId="0" fillId="0" borderId="38" xfId="0" applyBorder="1" applyAlignment="1" applyProtection="1">
      <alignment horizontal="left"/>
      <protection locked="0"/>
    </xf>
    <xf numFmtId="0" fontId="0" fillId="0" borderId="27" xfId="0" applyBorder="1" applyAlignment="1" applyProtection="1">
      <alignment horizontal="left"/>
      <protection locked="0"/>
    </xf>
    <xf numFmtId="0" fontId="0" fillId="0" borderId="54"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11" fillId="3" borderId="31" xfId="0" applyFont="1" applyFill="1" applyBorder="1" applyAlignment="1">
      <alignment horizontal="center"/>
    </xf>
    <xf numFmtId="0" fontId="11" fillId="3" borderId="33" xfId="0" applyFont="1" applyFill="1" applyBorder="1" applyAlignment="1">
      <alignment horizontal="center"/>
    </xf>
    <xf numFmtId="0" fontId="0" fillId="5" borderId="24" xfId="0" applyNumberFormat="1" applyFill="1" applyBorder="1" applyAlignment="1" applyProtection="1">
      <alignment horizontal="center" vertical="center"/>
      <protection locked="0"/>
    </xf>
    <xf numFmtId="0" fontId="0" fillId="5" borderId="28" xfId="0" applyNumberFormat="1" applyFill="1" applyBorder="1" applyAlignment="1" applyProtection="1">
      <alignment horizontal="center" vertical="center"/>
      <protection locked="0"/>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58" xfId="0" applyFont="1" applyBorder="1" applyAlignment="1">
      <alignment horizontal="left" vertical="top" wrapText="1"/>
    </xf>
    <xf numFmtId="0" fontId="0" fillId="0" borderId="4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3" fillId="0" borderId="53" xfId="0" applyFont="1" applyBorder="1" applyAlignment="1">
      <alignment horizontal="left" wrapText="1"/>
    </xf>
    <xf numFmtId="0" fontId="3" fillId="0" borderId="19" xfId="0" applyFont="1" applyBorder="1" applyAlignment="1">
      <alignment horizontal="left" wrapText="1"/>
    </xf>
    <xf numFmtId="0" fontId="3" fillId="0" borderId="48" xfId="0" applyFont="1" applyBorder="1" applyAlignment="1">
      <alignment horizontal="left" wrapText="1"/>
    </xf>
    <xf numFmtId="0" fontId="3" fillId="0" borderId="49" xfId="0" applyFont="1" applyBorder="1" applyAlignment="1">
      <alignment horizontal="left" wrapText="1"/>
    </xf>
    <xf numFmtId="0" fontId="3" fillId="0" borderId="0" xfId="0" applyFont="1" applyBorder="1" applyAlignment="1">
      <alignment horizontal="left" wrapText="1"/>
    </xf>
    <xf numFmtId="0" fontId="3" fillId="0" borderId="46" xfId="0" applyFont="1" applyBorder="1" applyAlignment="1">
      <alignment horizontal="left" wrapText="1"/>
    </xf>
    <xf numFmtId="0" fontId="3" fillId="0" borderId="44" xfId="0" applyFont="1" applyBorder="1" applyAlignment="1">
      <alignment horizontal="left" wrapText="1"/>
    </xf>
    <xf numFmtId="0" fontId="3" fillId="0" borderId="47" xfId="0" applyFont="1" applyBorder="1" applyAlignment="1">
      <alignment horizontal="left" wrapText="1"/>
    </xf>
    <xf numFmtId="0" fontId="3" fillId="0" borderId="35" xfId="0" applyFont="1" applyBorder="1" applyAlignment="1">
      <alignment horizontal="left" wrapText="1"/>
    </xf>
    <xf numFmtId="0" fontId="0" fillId="0" borderId="22" xfId="0" applyNumberFormat="1" applyBorder="1" applyAlignment="1" applyProtection="1">
      <alignment horizontal="center" vertical="center"/>
      <protection locked="0"/>
    </xf>
    <xf numFmtId="0" fontId="0" fillId="0" borderId="27" xfId="0" applyNumberFormat="1" applyBorder="1" applyAlignment="1" applyProtection="1">
      <alignment horizontal="center" vertical="center"/>
      <protection locked="0"/>
    </xf>
    <xf numFmtId="0" fontId="0" fillId="5" borderId="22" xfId="0" applyNumberFormat="1" applyFill="1" applyBorder="1" applyAlignment="1" applyProtection="1">
      <alignment horizontal="center" vertical="center"/>
      <protection locked="0"/>
    </xf>
    <xf numFmtId="0" fontId="0" fillId="5" borderId="27" xfId="0" applyNumberFormat="1" applyFill="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0" fillId="0" borderId="26" xfId="0" applyNumberFormat="1" applyBorder="1" applyAlignment="1" applyProtection="1">
      <alignment horizontal="center" vertical="center"/>
      <protection locked="0"/>
    </xf>
    <xf numFmtId="0" fontId="11" fillId="3" borderId="31" xfId="0" applyFont="1" applyFill="1" applyBorder="1" applyAlignment="1">
      <alignment horizontal="center" vertical="center"/>
    </xf>
    <xf numFmtId="0" fontId="11" fillId="3" borderId="33" xfId="0" applyFont="1" applyFill="1" applyBorder="1" applyAlignment="1">
      <alignment horizontal="center" vertical="center"/>
    </xf>
    <xf numFmtId="168" fontId="0" fillId="0" borderId="1" xfId="0" applyNumberFormat="1" applyBorder="1" applyAlignment="1">
      <alignment horizontal="center" vertical="center"/>
    </xf>
    <xf numFmtId="0" fontId="0" fillId="0" borderId="38" xfId="0" applyBorder="1" applyAlignment="1" applyProtection="1">
      <alignment horizontal="left" wrapText="1"/>
      <protection locked="0"/>
    </xf>
    <xf numFmtId="0" fontId="0" fillId="0" borderId="36" xfId="0" applyBorder="1" applyAlignment="1" applyProtection="1">
      <alignment horizontal="left" wrapText="1"/>
      <protection locked="0"/>
    </xf>
    <xf numFmtId="166" fontId="0" fillId="5" borderId="8" xfId="2" applyNumberFormat="1" applyFont="1" applyFill="1" applyBorder="1" applyAlignment="1" applyProtection="1">
      <alignment horizontal="center" wrapText="1"/>
      <protection locked="0"/>
    </xf>
    <xf numFmtId="166" fontId="0" fillId="5" borderId="9" xfId="2" applyNumberFormat="1" applyFont="1" applyFill="1" applyBorder="1" applyAlignment="1" applyProtection="1">
      <alignment horizontal="center" wrapText="1"/>
      <protection locked="0"/>
    </xf>
    <xf numFmtId="166" fontId="0" fillId="0" borderId="11" xfId="2" applyNumberFormat="1" applyFont="1" applyBorder="1" applyAlignment="1" applyProtection="1">
      <alignment horizontal="center" wrapText="1"/>
      <protection locked="0"/>
    </xf>
    <xf numFmtId="166" fontId="0" fillId="0" borderId="12" xfId="2" applyNumberFormat="1" applyFont="1" applyBorder="1" applyAlignment="1" applyProtection="1">
      <alignment horizontal="center" wrapText="1"/>
      <protection locked="0"/>
    </xf>
    <xf numFmtId="0" fontId="0" fillId="5" borderId="38" xfId="0" applyFill="1" applyBorder="1" applyAlignment="1" applyProtection="1">
      <alignment horizontal="left" wrapText="1"/>
      <protection locked="0"/>
    </xf>
    <xf numFmtId="0" fontId="0" fillId="5" borderId="36" xfId="0" applyFill="1" applyBorder="1" applyAlignment="1" applyProtection="1">
      <alignment horizontal="left" wrapText="1"/>
      <protection locked="0"/>
    </xf>
    <xf numFmtId="0" fontId="18" fillId="3" borderId="31" xfId="0" applyFont="1" applyFill="1" applyBorder="1" applyAlignment="1">
      <alignment horizontal="left"/>
    </xf>
    <xf numFmtId="0" fontId="18" fillId="3" borderId="32" xfId="0" applyFont="1" applyFill="1" applyBorder="1" applyAlignment="1">
      <alignment horizontal="left"/>
    </xf>
    <xf numFmtId="0" fontId="18" fillId="3" borderId="33" xfId="0" applyFont="1" applyFill="1" applyBorder="1" applyAlignment="1">
      <alignment horizontal="left"/>
    </xf>
    <xf numFmtId="166" fontId="11" fillId="3" borderId="31" xfId="2" applyNumberFormat="1" applyFont="1" applyFill="1" applyBorder="1" applyAlignment="1">
      <alignment horizontal="left" vertical="center" wrapText="1"/>
    </xf>
    <xf numFmtId="166" fontId="11" fillId="3" borderId="33" xfId="2" applyNumberFormat="1" applyFont="1" applyFill="1" applyBorder="1" applyAlignment="1">
      <alignment horizontal="left" vertical="center" wrapText="1"/>
    </xf>
    <xf numFmtId="0" fontId="0" fillId="0" borderId="63" xfId="0" applyBorder="1" applyAlignment="1" applyProtection="1">
      <alignment horizontal="left" wrapText="1"/>
      <protection locked="0"/>
    </xf>
    <xf numFmtId="0" fontId="0" fillId="0" borderId="58" xfId="0" applyBorder="1" applyAlignment="1" applyProtection="1">
      <alignment horizontal="left" wrapText="1"/>
      <protection locked="0"/>
    </xf>
    <xf numFmtId="0" fontId="3" fillId="7" borderId="31" xfId="0" applyFont="1" applyFill="1" applyBorder="1" applyAlignment="1">
      <alignment horizontal="center"/>
    </xf>
    <xf numFmtId="0" fontId="3" fillId="7" borderId="32" xfId="0" applyFont="1" applyFill="1" applyBorder="1" applyAlignment="1">
      <alignment horizontal="center"/>
    </xf>
    <xf numFmtId="0" fontId="3" fillId="7" borderId="33" xfId="0" applyFont="1" applyFill="1" applyBorder="1" applyAlignment="1">
      <alignment horizontal="center"/>
    </xf>
    <xf numFmtId="1" fontId="5" fillId="0" borderId="0" xfId="0" applyNumberFormat="1" applyFont="1" applyFill="1" applyBorder="1" applyAlignment="1">
      <alignment horizontal="left" vertical="center" wrapText="1"/>
    </xf>
    <xf numFmtId="0" fontId="11" fillId="3" borderId="32" xfId="0" applyFont="1" applyFill="1" applyBorder="1" applyAlignment="1">
      <alignment horizontal="center" vertical="center"/>
    </xf>
    <xf numFmtId="0" fontId="20" fillId="7" borderId="31" xfId="0" applyFont="1" applyFill="1" applyBorder="1" applyAlignment="1">
      <alignment horizontal="left"/>
    </xf>
    <xf numFmtId="0" fontId="20" fillId="7" borderId="32" xfId="0" applyFont="1" applyFill="1" applyBorder="1" applyAlignment="1">
      <alignment horizontal="left"/>
    </xf>
    <xf numFmtId="1" fontId="27" fillId="0" borderId="23" xfId="0" applyNumberFormat="1" applyFont="1" applyFill="1" applyBorder="1" applyAlignment="1">
      <alignment horizontal="left" vertical="center"/>
    </xf>
    <xf numFmtId="1" fontId="27" fillId="0" borderId="36" xfId="0" applyNumberFormat="1" applyFont="1" applyFill="1" applyBorder="1" applyAlignment="1">
      <alignment horizontal="left" vertical="center"/>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17" fillId="0" borderId="47" xfId="0" applyFont="1" applyBorder="1" applyAlignment="1">
      <alignment horizontal="left"/>
    </xf>
    <xf numFmtId="0" fontId="17" fillId="0" borderId="35" xfId="0" applyFont="1" applyBorder="1" applyAlignment="1">
      <alignment horizontal="left"/>
    </xf>
    <xf numFmtId="1" fontId="27" fillId="0" borderId="25" xfId="0" applyNumberFormat="1" applyFont="1" applyFill="1" applyBorder="1" applyAlignment="1">
      <alignment horizontal="left" vertical="center"/>
    </xf>
    <xf numFmtId="1" fontId="27" fillId="0" borderId="37" xfId="0" applyNumberFormat="1" applyFont="1" applyFill="1" applyBorder="1" applyAlignment="1">
      <alignment horizontal="left" vertical="center"/>
    </xf>
    <xf numFmtId="0" fontId="17" fillId="0" borderId="23" xfId="0" applyFont="1" applyBorder="1" applyAlignment="1">
      <alignment horizontal="left"/>
    </xf>
    <xf numFmtId="0" fontId="17" fillId="0" borderId="36" xfId="0" applyFont="1" applyBorder="1" applyAlignment="1">
      <alignment horizontal="left"/>
    </xf>
    <xf numFmtId="0" fontId="0" fillId="0" borderId="25" xfId="0" applyFill="1" applyBorder="1" applyAlignment="1">
      <alignment horizontal="left" vertical="center"/>
    </xf>
    <xf numFmtId="0" fontId="0" fillId="0" borderId="37" xfId="0" applyFill="1" applyBorder="1" applyAlignment="1">
      <alignment horizontal="left" vertical="center"/>
    </xf>
    <xf numFmtId="0" fontId="0" fillId="0" borderId="47" xfId="0" applyFill="1" applyBorder="1" applyAlignment="1">
      <alignment horizontal="left" vertical="center"/>
    </xf>
    <xf numFmtId="0" fontId="0" fillId="0" borderId="35" xfId="0" applyFill="1" applyBorder="1" applyAlignment="1">
      <alignment horizontal="left" vertical="center"/>
    </xf>
    <xf numFmtId="0" fontId="27" fillId="0" borderId="23"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8" fillId="0" borderId="0" xfId="0" applyFont="1" applyAlignment="1">
      <alignment horizontal="right" vertical="center"/>
    </xf>
    <xf numFmtId="0" fontId="1" fillId="0" borderId="1" xfId="0" applyFont="1" applyBorder="1" applyAlignment="1">
      <alignment horizontal="center" vertical="center"/>
    </xf>
    <xf numFmtId="0" fontId="0" fillId="0" borderId="59" xfId="0" applyBorder="1" applyAlignment="1" applyProtection="1">
      <alignment horizontal="left" vertical="top" wrapText="1"/>
      <protection locked="0"/>
    </xf>
    <xf numFmtId="0" fontId="0" fillId="0" borderId="68"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20" xfId="0" applyBorder="1" applyAlignment="1">
      <alignment horizontal="left" wrapText="1"/>
    </xf>
    <xf numFmtId="0" fontId="0" fillId="0" borderId="21" xfId="0" applyBorder="1" applyAlignment="1">
      <alignment horizontal="left" wrapText="1"/>
    </xf>
    <xf numFmtId="0" fontId="0" fillId="0" borderId="58" xfId="0" applyBorder="1" applyAlignment="1">
      <alignment horizontal="left" wrapText="1"/>
    </xf>
    <xf numFmtId="0" fontId="11" fillId="3" borderId="41" xfId="0" applyFont="1" applyFill="1" applyBorder="1" applyAlignment="1">
      <alignment horizontal="center"/>
    </xf>
    <xf numFmtId="0" fontId="11" fillId="3" borderId="42" xfId="0" applyFont="1" applyFill="1" applyBorder="1" applyAlignment="1">
      <alignment horizontal="center"/>
    </xf>
    <xf numFmtId="0" fontId="16" fillId="3" borderId="3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53" xfId="0" applyFont="1" applyFill="1" applyBorder="1" applyAlignment="1">
      <alignment horizontal="center" vertical="center" wrapText="1"/>
    </xf>
    <xf numFmtId="0" fontId="16" fillId="3" borderId="54" xfId="0" applyFont="1" applyFill="1" applyBorder="1" applyAlignment="1">
      <alignment horizontal="center" vertical="center" wrapText="1"/>
    </xf>
    <xf numFmtId="168" fontId="3" fillId="0" borderId="20" xfId="0" applyNumberFormat="1" applyFont="1" applyBorder="1" applyAlignment="1">
      <alignment horizontal="left" vertical="top" wrapText="1"/>
    </xf>
    <xf numFmtId="168" fontId="3" fillId="0" borderId="21" xfId="0" applyNumberFormat="1" applyFont="1" applyBorder="1" applyAlignment="1">
      <alignment horizontal="left" vertical="top" wrapText="1"/>
    </xf>
    <xf numFmtId="168" fontId="3" fillId="0" borderId="58" xfId="0" applyNumberFormat="1" applyFont="1" applyBorder="1" applyAlignment="1">
      <alignment horizontal="left" vertical="top" wrapText="1"/>
    </xf>
    <xf numFmtId="168" fontId="0" fillId="0" borderId="54" xfId="0" applyNumberFormat="1" applyFont="1" applyBorder="1" applyAlignment="1" applyProtection="1">
      <alignment horizontal="left" vertical="top" wrapText="1"/>
      <protection locked="0"/>
    </xf>
    <xf numFmtId="168" fontId="0" fillId="0" borderId="1" xfId="0" applyNumberFormat="1" applyFont="1" applyBorder="1" applyAlignment="1" applyProtection="1">
      <alignment horizontal="left" vertical="top" wrapText="1"/>
      <protection locked="0"/>
    </xf>
    <xf numFmtId="0" fontId="11" fillId="3" borderId="32" xfId="0" applyFont="1" applyFill="1" applyBorder="1" applyAlignment="1">
      <alignment horizontal="center"/>
    </xf>
    <xf numFmtId="0" fontId="3" fillId="0" borderId="53" xfId="0" applyFont="1" applyBorder="1" applyAlignment="1">
      <alignment horizontal="left" vertical="center" wrapText="1"/>
    </xf>
    <xf numFmtId="0" fontId="3" fillId="0" borderId="19" xfId="0" applyFont="1" applyBorder="1" applyAlignment="1">
      <alignment horizontal="left" vertical="center" wrapText="1"/>
    </xf>
    <xf numFmtId="0" fontId="3" fillId="0" borderId="48" xfId="0" applyFont="1" applyBorder="1" applyAlignment="1">
      <alignment horizontal="left" vertical="center" wrapText="1"/>
    </xf>
    <xf numFmtId="0" fontId="3" fillId="0" borderId="44" xfId="0" applyFont="1" applyBorder="1" applyAlignment="1">
      <alignment horizontal="left" vertical="center" wrapText="1"/>
    </xf>
    <xf numFmtId="0" fontId="3" fillId="0" borderId="47" xfId="0" applyFont="1" applyBorder="1" applyAlignment="1">
      <alignment horizontal="left" vertical="center" wrapText="1"/>
    </xf>
    <xf numFmtId="0" fontId="3" fillId="0" borderId="35" xfId="0" applyFont="1" applyBorder="1" applyAlignment="1">
      <alignment horizontal="left" vertical="center" wrapText="1"/>
    </xf>
    <xf numFmtId="169" fontId="6" fillId="0" borderId="53" xfId="0" applyNumberFormat="1" applyFont="1" applyBorder="1" applyAlignment="1">
      <alignment horizontal="left" wrapText="1"/>
    </xf>
    <xf numFmtId="169" fontId="6" fillId="0" borderId="19" xfId="0" applyNumberFormat="1" applyFont="1" applyBorder="1" applyAlignment="1">
      <alignment horizontal="left" wrapText="1"/>
    </xf>
    <xf numFmtId="169" fontId="6" fillId="0" borderId="48" xfId="0" applyNumberFormat="1" applyFont="1" applyBorder="1" applyAlignment="1">
      <alignment horizontal="left" wrapText="1"/>
    </xf>
    <xf numFmtId="169" fontId="6" fillId="0" borderId="49" xfId="0" applyNumberFormat="1" applyFont="1" applyBorder="1" applyAlignment="1">
      <alignment horizontal="left" wrapText="1"/>
    </xf>
    <xf numFmtId="169" fontId="6" fillId="0" borderId="0" xfId="0" applyNumberFormat="1" applyFont="1" applyBorder="1" applyAlignment="1">
      <alignment horizontal="left" wrapText="1"/>
    </xf>
    <xf numFmtId="169" fontId="6" fillId="0" borderId="46" xfId="0" applyNumberFormat="1" applyFont="1" applyBorder="1" applyAlignment="1">
      <alignment horizontal="left" wrapText="1"/>
    </xf>
    <xf numFmtId="169" fontId="6" fillId="0" borderId="44" xfId="0" applyNumberFormat="1" applyFont="1" applyBorder="1" applyAlignment="1">
      <alignment horizontal="left" wrapText="1"/>
    </xf>
    <xf numFmtId="169" fontId="6" fillId="0" borderId="47" xfId="0" applyNumberFormat="1" applyFont="1" applyBorder="1" applyAlignment="1">
      <alignment horizontal="left" wrapText="1"/>
    </xf>
    <xf numFmtId="169" fontId="6" fillId="0" borderId="35" xfId="0" applyNumberFormat="1" applyFont="1" applyBorder="1" applyAlignment="1">
      <alignment horizontal="left" wrapText="1"/>
    </xf>
    <xf numFmtId="0" fontId="5" fillId="0" borderId="1" xfId="0" applyFont="1" applyBorder="1" applyAlignment="1">
      <alignment horizontal="left" vertical="center"/>
    </xf>
    <xf numFmtId="1" fontId="0" fillId="5" borderId="22" xfId="0" applyNumberFormat="1" applyFill="1" applyBorder="1" applyAlignment="1">
      <alignment horizontal="left"/>
    </xf>
    <xf numFmtId="1" fontId="0" fillId="5" borderId="36" xfId="0" applyNumberFormat="1" applyFill="1" applyBorder="1" applyAlignment="1">
      <alignment horizontal="left"/>
    </xf>
    <xf numFmtId="1" fontId="0" fillId="0" borderId="22" xfId="0" applyNumberFormat="1" applyFill="1" applyBorder="1" applyAlignment="1">
      <alignment horizontal="left"/>
    </xf>
    <xf numFmtId="1" fontId="0" fillId="0" borderId="36" xfId="0" applyNumberFormat="1" applyFill="1" applyBorder="1" applyAlignment="1">
      <alignment horizontal="left"/>
    </xf>
    <xf numFmtId="1" fontId="0" fillId="5" borderId="54" xfId="0" applyNumberFormat="1" applyFill="1" applyBorder="1" applyAlignment="1">
      <alignment horizontal="center"/>
    </xf>
    <xf numFmtId="1" fontId="0" fillId="5" borderId="45" xfId="0" applyNumberFormat="1" applyFill="1" applyBorder="1" applyAlignment="1">
      <alignment horizontal="center"/>
    </xf>
    <xf numFmtId="1" fontId="0" fillId="0" borderId="44" xfId="0" applyNumberFormat="1" applyFill="1" applyBorder="1" applyAlignment="1">
      <alignment horizontal="center"/>
    </xf>
    <xf numFmtId="1" fontId="0" fillId="0" borderId="35" xfId="0" applyNumberFormat="1" applyFill="1" applyBorder="1" applyAlignment="1">
      <alignment horizontal="center"/>
    </xf>
    <xf numFmtId="1" fontId="0" fillId="0" borderId="20" xfId="0" applyNumberFormat="1" applyFill="1" applyBorder="1" applyAlignment="1">
      <alignment horizontal="center"/>
    </xf>
    <xf numFmtId="1" fontId="0" fillId="0" borderId="58" xfId="0" applyNumberFormat="1" applyFill="1" applyBorder="1" applyAlignment="1">
      <alignment horizontal="center"/>
    </xf>
    <xf numFmtId="1" fontId="0" fillId="5" borderId="44" xfId="0" applyNumberFormat="1" applyFill="1" applyBorder="1" applyAlignment="1">
      <alignment horizontal="center"/>
    </xf>
    <xf numFmtId="1" fontId="0" fillId="5" borderId="35" xfId="0" applyNumberFormat="1" applyFill="1" applyBorder="1" applyAlignment="1">
      <alignment horizontal="center"/>
    </xf>
    <xf numFmtId="0" fontId="0" fillId="4" borderId="31" xfId="0" applyFont="1" applyFill="1" applyBorder="1" applyAlignment="1">
      <alignment horizontal="center" wrapText="1"/>
    </xf>
    <xf numFmtId="0" fontId="0" fillId="4" borderId="32" xfId="0" applyFont="1" applyFill="1" applyBorder="1" applyAlignment="1">
      <alignment horizontal="center" wrapText="1"/>
    </xf>
    <xf numFmtId="0" fontId="0" fillId="4" borderId="33" xfId="0" applyFont="1" applyFill="1" applyBorder="1" applyAlignment="1">
      <alignment horizontal="center" wrapText="1"/>
    </xf>
    <xf numFmtId="0" fontId="3" fillId="0" borderId="53" xfId="0" applyFont="1" applyBorder="1" applyAlignment="1">
      <alignment horizontal="left" vertical="top" wrapText="1"/>
    </xf>
    <xf numFmtId="0" fontId="3" fillId="0" borderId="19" xfId="0" applyFont="1" applyBorder="1" applyAlignment="1">
      <alignment horizontal="left" vertical="top"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3" fillId="0" borderId="0" xfId="0" applyFont="1" applyBorder="1" applyAlignment="1">
      <alignment horizontal="left" vertical="top" wrapText="1"/>
    </xf>
    <xf numFmtId="0" fontId="3" fillId="0" borderId="46" xfId="0" applyFont="1" applyBorder="1" applyAlignment="1">
      <alignment horizontal="left" vertical="top" wrapText="1"/>
    </xf>
    <xf numFmtId="1" fontId="0" fillId="0" borderId="24" xfId="0" applyNumberFormat="1" applyFill="1" applyBorder="1" applyAlignment="1">
      <alignment horizontal="left"/>
    </xf>
    <xf numFmtId="1" fontId="0" fillId="0" borderId="37" xfId="0" applyNumberFormat="1" applyFill="1" applyBorder="1" applyAlignment="1">
      <alignment horizontal="left"/>
    </xf>
    <xf numFmtId="0" fontId="3" fillId="0" borderId="0" xfId="0" applyFont="1" applyAlignment="1">
      <alignment horizontal="right" wrapText="1"/>
    </xf>
    <xf numFmtId="1" fontId="0" fillId="0" borderId="44" xfId="0" applyNumberFormat="1" applyFill="1" applyBorder="1" applyAlignment="1">
      <alignment horizontal="left"/>
    </xf>
    <xf numFmtId="1" fontId="0" fillId="0" borderId="35" xfId="0" applyNumberFormat="1" applyFill="1" applyBorder="1" applyAlignment="1">
      <alignment horizontal="left"/>
    </xf>
    <xf numFmtId="0" fontId="0" fillId="0" borderId="59" xfId="0" applyBorder="1" applyAlignment="1" applyProtection="1">
      <alignment horizontal="left" vertical="top"/>
      <protection locked="0"/>
    </xf>
    <xf numFmtId="0" fontId="0" fillId="0" borderId="68" xfId="0" applyBorder="1" applyAlignment="1" applyProtection="1">
      <alignment horizontal="left" vertical="top"/>
      <protection locked="0"/>
    </xf>
    <xf numFmtId="0" fontId="0" fillId="0" borderId="39" xfId="0" applyBorder="1" applyAlignment="1" applyProtection="1">
      <alignment horizontal="left" vertical="top"/>
      <protection locked="0"/>
    </xf>
    <xf numFmtId="0" fontId="0" fillId="0" borderId="54"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3" fillId="7" borderId="56" xfId="0" applyFont="1" applyFill="1" applyBorder="1" applyAlignment="1" applyProtection="1">
      <alignment horizontal="center" wrapText="1"/>
      <protection hidden="1"/>
    </xf>
    <xf numFmtId="0" fontId="3" fillId="7" borderId="55" xfId="0" applyFont="1" applyFill="1" applyBorder="1" applyAlignment="1" applyProtection="1">
      <alignment horizontal="center" wrapText="1"/>
      <protection hidden="1"/>
    </xf>
    <xf numFmtId="0" fontId="17" fillId="7" borderId="31" xfId="0" applyFont="1" applyFill="1" applyBorder="1" applyAlignment="1">
      <alignment horizontal="center"/>
    </xf>
    <xf numFmtId="0" fontId="17" fillId="7" borderId="32" xfId="0" applyFont="1" applyFill="1" applyBorder="1" applyAlignment="1">
      <alignment horizontal="center"/>
    </xf>
    <xf numFmtId="0" fontId="17" fillId="7" borderId="33" xfId="0" applyFont="1" applyFill="1" applyBorder="1" applyAlignment="1">
      <alignment horizontal="center"/>
    </xf>
    <xf numFmtId="0" fontId="3" fillId="7" borderId="53" xfId="0" applyFont="1" applyFill="1" applyBorder="1" applyAlignment="1">
      <alignment horizontal="center" wrapText="1"/>
    </xf>
    <xf numFmtId="0" fontId="3" fillId="7" borderId="48" xfId="0" applyFont="1" applyFill="1" applyBorder="1" applyAlignment="1">
      <alignment horizontal="center" wrapText="1"/>
    </xf>
    <xf numFmtId="0" fontId="3" fillId="7" borderId="54" xfId="0" applyFont="1" applyFill="1" applyBorder="1" applyAlignment="1">
      <alignment horizontal="center" wrapText="1"/>
    </xf>
    <xf numFmtId="0" fontId="3" fillId="7" borderId="45" xfId="0" applyFont="1" applyFill="1" applyBorder="1" applyAlignment="1">
      <alignment horizontal="center" wrapText="1"/>
    </xf>
    <xf numFmtId="0" fontId="18" fillId="3" borderId="31" xfId="0" applyFont="1" applyFill="1" applyBorder="1" applyAlignment="1">
      <alignment horizontal="left" wrapText="1"/>
    </xf>
    <xf numFmtId="0" fontId="18" fillId="3" borderId="32" xfId="0" applyFont="1" applyFill="1" applyBorder="1" applyAlignment="1">
      <alignment horizontal="left" wrapText="1"/>
    </xf>
    <xf numFmtId="0" fontId="18" fillId="3" borderId="33" xfId="0" applyFont="1" applyFill="1" applyBorder="1" applyAlignment="1">
      <alignment horizontal="left" wrapText="1"/>
    </xf>
    <xf numFmtId="0" fontId="11" fillId="0" borderId="0" xfId="0" applyFont="1" applyFill="1" applyBorder="1" applyAlignment="1">
      <alignment horizontal="center"/>
    </xf>
    <xf numFmtId="0" fontId="3" fillId="0" borderId="2" xfId="0" applyFont="1" applyBorder="1" applyAlignment="1">
      <alignment horizontal="left" vertical="top" wrapText="1"/>
    </xf>
    <xf numFmtId="0" fontId="3" fillId="0" borderId="50" xfId="0" applyFont="1" applyBorder="1" applyAlignment="1">
      <alignment horizontal="left" vertical="top" wrapText="1"/>
    </xf>
    <xf numFmtId="0" fontId="16" fillId="3" borderId="31" xfId="0" applyFont="1" applyFill="1" applyBorder="1" applyAlignment="1">
      <alignment horizontal="center"/>
    </xf>
    <xf numFmtId="0" fontId="16" fillId="3" borderId="33" xfId="0" applyFont="1" applyFill="1" applyBorder="1" applyAlignment="1">
      <alignment horizontal="center"/>
    </xf>
    <xf numFmtId="0" fontId="18" fillId="3" borderId="31" xfId="0" applyFont="1" applyFill="1" applyBorder="1" applyAlignment="1">
      <alignment horizontal="left" vertical="center"/>
    </xf>
    <xf numFmtId="0" fontId="18" fillId="3" borderId="33" xfId="0" applyFont="1" applyFill="1" applyBorder="1" applyAlignment="1">
      <alignment horizontal="left" vertical="center"/>
    </xf>
    <xf numFmtId="0" fontId="3" fillId="0" borderId="2" xfId="0" applyFont="1" applyBorder="1" applyAlignment="1">
      <alignment horizontal="left" wrapText="1"/>
    </xf>
    <xf numFmtId="0" fontId="3" fillId="0" borderId="56" xfId="0" applyFont="1" applyBorder="1" applyAlignment="1">
      <alignment horizontal="left" wrapText="1"/>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3" fillId="0" borderId="51" xfId="0" applyFont="1" applyBorder="1" applyAlignment="1">
      <alignment horizontal="left"/>
    </xf>
    <xf numFmtId="0" fontId="3" fillId="0" borderId="52" xfId="0" applyFont="1" applyBorder="1" applyAlignment="1">
      <alignment horizontal="left"/>
    </xf>
    <xf numFmtId="0" fontId="0" fillId="0" borderId="44" xfId="0" applyBorder="1" applyAlignment="1">
      <alignment horizontal="left"/>
    </xf>
    <xf numFmtId="0" fontId="0" fillId="0" borderId="47" xfId="0" applyBorder="1" applyAlignment="1">
      <alignment horizontal="left"/>
    </xf>
    <xf numFmtId="0" fontId="0" fillId="0" borderId="35" xfId="0" applyBorder="1" applyAlignment="1">
      <alignment horizontal="left"/>
    </xf>
    <xf numFmtId="0" fontId="0" fillId="0" borderId="44" xfId="0" applyBorder="1" applyAlignment="1">
      <alignment horizontal="left" vertical="top" wrapText="1"/>
    </xf>
    <xf numFmtId="0" fontId="0" fillId="0" borderId="47" xfId="0" applyFont="1" applyBorder="1" applyAlignment="1">
      <alignment horizontal="left" vertical="top" wrapText="1"/>
    </xf>
    <xf numFmtId="0" fontId="0" fillId="0" borderId="35" xfId="0" applyFont="1" applyBorder="1" applyAlignment="1">
      <alignment horizontal="left" vertical="top" wrapText="1"/>
    </xf>
    <xf numFmtId="0" fontId="0" fillId="0" borderId="53" xfId="0" applyBorder="1" applyAlignment="1">
      <alignment horizontal="left" vertical="top" wrapText="1"/>
    </xf>
    <xf numFmtId="0" fontId="0" fillId="0" borderId="19" xfId="0" applyBorder="1" applyAlignment="1">
      <alignment horizontal="left" vertical="top" wrapText="1"/>
    </xf>
    <xf numFmtId="0" fontId="0" fillId="0" borderId="48" xfId="0" applyBorder="1" applyAlignment="1">
      <alignment horizontal="left" vertical="top" wrapText="1"/>
    </xf>
    <xf numFmtId="0" fontId="0" fillId="0" borderId="47" xfId="0" applyBorder="1" applyAlignment="1">
      <alignment horizontal="left" vertical="top" wrapText="1"/>
    </xf>
    <xf numFmtId="0" fontId="0" fillId="0" borderId="35" xfId="0" applyBorder="1" applyAlignment="1">
      <alignment horizontal="left" vertical="top" wrapText="1"/>
    </xf>
    <xf numFmtId="0" fontId="0" fillId="0" borderId="2" xfId="0" applyBorder="1" applyAlignment="1">
      <alignment horizontal="left" wrapText="1"/>
    </xf>
    <xf numFmtId="0" fontId="0" fillId="0" borderId="50" xfId="0" applyBorder="1" applyAlignment="1">
      <alignment horizontal="left" wrapText="1"/>
    </xf>
    <xf numFmtId="0" fontId="0" fillId="0" borderId="55"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24" xfId="0" applyBorder="1" applyAlignment="1">
      <alignment horizontal="left"/>
    </xf>
    <xf numFmtId="0" fontId="0" fillId="0" borderId="25" xfId="0" applyBorder="1" applyAlignment="1">
      <alignment horizontal="left"/>
    </xf>
    <xf numFmtId="0" fontId="0" fillId="0" borderId="37" xfId="0" applyBorder="1" applyAlignment="1">
      <alignment horizontal="left"/>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58" xfId="0" applyFont="1" applyBorder="1" applyAlignment="1">
      <alignment horizontal="left" vertical="center"/>
    </xf>
    <xf numFmtId="168" fontId="0" fillId="0" borderId="0" xfId="0" applyNumberFormat="1" applyFont="1" applyAlignment="1">
      <alignment horizontal="center" vertical="top"/>
    </xf>
    <xf numFmtId="0" fontId="0" fillId="0" borderId="20" xfId="0" applyBorder="1" applyAlignment="1">
      <alignment horizontal="left" vertical="center"/>
    </xf>
    <xf numFmtId="0" fontId="0" fillId="0" borderId="21" xfId="0" applyBorder="1" applyAlignment="1">
      <alignment horizontal="left" vertical="center"/>
    </xf>
    <xf numFmtId="0" fontId="0" fillId="0" borderId="58" xfId="0" applyBorder="1" applyAlignment="1">
      <alignment horizontal="left" vertical="center"/>
    </xf>
    <xf numFmtId="0" fontId="20" fillId="0" borderId="20" xfId="0" applyFont="1" applyFill="1" applyBorder="1" applyAlignment="1">
      <alignment horizontal="left" vertical="center"/>
    </xf>
    <xf numFmtId="0" fontId="20" fillId="0" borderId="21" xfId="0" applyFont="1" applyFill="1" applyBorder="1" applyAlignment="1">
      <alignment horizontal="left" vertical="center"/>
    </xf>
    <xf numFmtId="0" fontId="20" fillId="0" borderId="58" xfId="0" applyFont="1" applyFill="1" applyBorder="1" applyAlignment="1">
      <alignment horizontal="left" vertical="center"/>
    </xf>
    <xf numFmtId="0" fontId="0" fillId="0" borderId="19" xfId="0" applyBorder="1"/>
    <xf numFmtId="0" fontId="0" fillId="0" borderId="48" xfId="0" applyBorder="1"/>
    <xf numFmtId="0" fontId="0" fillId="0" borderId="44" xfId="0" applyBorder="1"/>
    <xf numFmtId="0" fontId="0" fillId="0" borderId="47" xfId="0" applyBorder="1"/>
    <xf numFmtId="0" fontId="0" fillId="0" borderId="35" xfId="0" applyBorder="1"/>
    <xf numFmtId="0" fontId="20" fillId="0" borderId="53" xfId="4" applyFont="1" applyBorder="1" applyAlignment="1" applyProtection="1">
      <alignment horizontal="left" vertical="top" wrapText="1"/>
    </xf>
    <xf numFmtId="0" fontId="20" fillId="0" borderId="19" xfId="4" applyFont="1" applyBorder="1" applyAlignment="1" applyProtection="1">
      <alignment horizontal="left" vertical="top" wrapText="1"/>
    </xf>
    <xf numFmtId="0" fontId="20" fillId="0" borderId="48" xfId="4" applyFont="1" applyBorder="1" applyAlignment="1" applyProtection="1">
      <alignment horizontal="left" vertical="top" wrapText="1"/>
    </xf>
    <xf numFmtId="0" fontId="20" fillId="0" borderId="44" xfId="4" applyFont="1" applyBorder="1" applyAlignment="1" applyProtection="1">
      <alignment horizontal="left" vertical="top" wrapText="1"/>
    </xf>
    <xf numFmtId="0" fontId="20" fillId="0" borderId="47" xfId="4" applyFont="1" applyBorder="1" applyAlignment="1" applyProtection="1">
      <alignment horizontal="left" vertical="top" wrapText="1"/>
    </xf>
    <xf numFmtId="0" fontId="20" fillId="0" borderId="35" xfId="4" applyFont="1" applyBorder="1" applyAlignment="1" applyProtection="1">
      <alignment horizontal="left" vertical="top" wrapText="1"/>
    </xf>
    <xf numFmtId="0" fontId="0" fillId="0" borderId="0" xfId="0" applyFont="1" applyAlignment="1">
      <alignment horizontal="left" vertical="center"/>
    </xf>
    <xf numFmtId="0" fontId="11" fillId="3" borderId="2" xfId="0" applyFont="1" applyFill="1" applyBorder="1" applyAlignment="1">
      <alignment horizontal="center" vertical="center" wrapText="1"/>
    </xf>
    <xf numFmtId="0" fontId="17" fillId="0" borderId="77" xfId="4" applyFont="1" applyBorder="1" applyAlignment="1" applyProtection="1">
      <alignment horizontal="left" vertical="top" wrapText="1"/>
    </xf>
    <xf numFmtId="0" fontId="17" fillId="0" borderId="68" xfId="4" applyFont="1" applyBorder="1" applyAlignment="1" applyProtection="1">
      <alignment horizontal="left" vertical="top" wrapText="1"/>
    </xf>
    <xf numFmtId="0" fontId="17" fillId="0" borderId="39" xfId="4" applyFont="1" applyBorder="1" applyAlignment="1" applyProtection="1">
      <alignment horizontal="left" vertical="top" wrapText="1"/>
    </xf>
    <xf numFmtId="0" fontId="0" fillId="0" borderId="13"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11" fillId="3" borderId="2" xfId="0" applyFont="1" applyFill="1" applyBorder="1" applyAlignment="1">
      <alignment horizontal="center" vertical="center"/>
    </xf>
    <xf numFmtId="0" fontId="0" fillId="0" borderId="15" xfId="0" applyBorder="1" applyAlignment="1" applyProtection="1">
      <alignment horizontal="center" vertical="center"/>
      <protection locked="0"/>
    </xf>
    <xf numFmtId="168" fontId="0" fillId="0" borderId="1" xfId="0" applyNumberFormat="1" applyFont="1" applyBorder="1" applyAlignment="1">
      <alignment horizontal="center" vertical="center"/>
    </xf>
    <xf numFmtId="0" fontId="17" fillId="0" borderId="78" xfId="4" applyFont="1" applyBorder="1" applyAlignment="1" applyProtection="1">
      <alignment horizontal="left" vertical="top" wrapText="1"/>
    </xf>
    <xf numFmtId="0" fontId="17" fillId="0" borderId="0" xfId="4" applyFont="1" applyBorder="1" applyAlignment="1" applyProtection="1">
      <alignment horizontal="left" vertical="top" wrapText="1"/>
    </xf>
    <xf numFmtId="0" fontId="17" fillId="0" borderId="46" xfId="4" applyFont="1" applyBorder="1" applyAlignment="1" applyProtection="1">
      <alignment horizontal="left" vertical="top" wrapText="1"/>
    </xf>
    <xf numFmtId="0" fontId="17" fillId="0" borderId="79" xfId="4" applyFont="1" applyBorder="1" applyAlignment="1" applyProtection="1">
      <alignment horizontal="left" vertical="top" wrapText="1"/>
    </xf>
    <xf numFmtId="0" fontId="17" fillId="0" borderId="1" xfId="4" applyFont="1" applyBorder="1" applyAlignment="1" applyProtection="1">
      <alignment horizontal="left" vertical="top" wrapText="1"/>
    </xf>
    <xf numFmtId="0" fontId="17" fillId="0" borderId="45" xfId="4" applyFont="1" applyBorder="1" applyAlignment="1" applyProtection="1">
      <alignment horizontal="left" vertical="top" wrapText="1"/>
    </xf>
    <xf numFmtId="0" fontId="17" fillId="0" borderId="49" xfId="4" applyFont="1" applyBorder="1" applyAlignment="1" applyProtection="1">
      <alignment horizontal="center" vertical="top" wrapText="1"/>
      <protection locked="0"/>
    </xf>
    <xf numFmtId="0" fontId="17" fillId="0" borderId="54" xfId="4" applyFont="1" applyBorder="1" applyAlignment="1" applyProtection="1">
      <alignment horizontal="center" vertical="top" wrapText="1"/>
      <protection locked="0"/>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11" fillId="3" borderId="31"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0" borderId="20"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8" xfId="0" applyFont="1" applyBorder="1" applyAlignment="1" applyProtection="1">
      <alignment horizontal="left" vertical="top" wrapText="1"/>
      <protection locked="0"/>
    </xf>
    <xf numFmtId="0" fontId="0" fillId="0" borderId="39" xfId="0" applyFont="1" applyBorder="1" applyAlignment="1" applyProtection="1">
      <alignment horizontal="left" vertical="top" wrapText="1"/>
      <protection locked="0"/>
    </xf>
    <xf numFmtId="0" fontId="0" fillId="0" borderId="49"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46" xfId="0" applyFont="1" applyBorder="1" applyAlignment="1" applyProtection="1">
      <alignment horizontal="left" vertical="top" wrapText="1"/>
      <protection locked="0"/>
    </xf>
    <xf numFmtId="0" fontId="0" fillId="0" borderId="45" xfId="0" applyFont="1" applyBorder="1" applyAlignment="1" applyProtection="1">
      <alignment horizontal="left" vertical="top" wrapText="1"/>
      <protection locked="0"/>
    </xf>
    <xf numFmtId="0" fontId="0" fillId="0" borderId="49" xfId="0" applyFont="1" applyBorder="1" applyAlignment="1">
      <alignment horizontal="left" wrapText="1"/>
    </xf>
    <xf numFmtId="0" fontId="0" fillId="0" borderId="0" xfId="0" applyFont="1" applyBorder="1" applyAlignment="1">
      <alignment horizontal="left" wrapText="1"/>
    </xf>
    <xf numFmtId="0" fontId="0" fillId="0" borderId="46" xfId="0" applyFont="1" applyBorder="1" applyAlignment="1">
      <alignment horizontal="left" wrapText="1"/>
    </xf>
    <xf numFmtId="0" fontId="0" fillId="0" borderId="2" xfId="4" applyFont="1" applyBorder="1" applyAlignment="1" applyProtection="1">
      <alignment horizontal="left" wrapText="1"/>
    </xf>
    <xf numFmtId="0" fontId="2" fillId="0" borderId="2" xfId="4" applyFont="1" applyBorder="1" applyAlignment="1" applyProtection="1">
      <alignment horizontal="left" wrapText="1"/>
    </xf>
    <xf numFmtId="0" fontId="2" fillId="0" borderId="56" xfId="4" applyFont="1" applyBorder="1" applyAlignment="1" applyProtection="1">
      <alignment horizontal="left" wrapText="1"/>
    </xf>
    <xf numFmtId="0" fontId="0" fillId="0" borderId="50" xfId="0" applyBorder="1" applyAlignment="1">
      <alignment horizontal="left" vertical="center" wrapText="1"/>
    </xf>
    <xf numFmtId="0" fontId="0" fillId="0" borderId="13" xfId="0" applyBorder="1" applyAlignment="1">
      <alignment horizontal="left" vertical="center" wrapText="1"/>
    </xf>
    <xf numFmtId="0" fontId="0" fillId="0" borderId="13"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2" fillId="0" borderId="24" xfId="4" applyFont="1" applyBorder="1" applyAlignment="1" applyProtection="1">
      <alignment horizontal="left" wrapText="1"/>
      <protection locked="0"/>
    </xf>
    <xf numFmtId="0" fontId="2" fillId="0" borderId="25" xfId="4" applyFont="1" applyBorder="1" applyAlignment="1" applyProtection="1">
      <alignment horizontal="left" wrapText="1"/>
      <protection locked="0"/>
    </xf>
    <xf numFmtId="0" fontId="11" fillId="3" borderId="31" xfId="0" applyFont="1" applyFill="1" applyBorder="1" applyAlignment="1">
      <alignment horizontal="left"/>
    </xf>
    <xf numFmtId="0" fontId="11" fillId="3" borderId="33" xfId="0" applyFont="1" applyFill="1" applyBorder="1" applyAlignment="1">
      <alignment horizontal="left"/>
    </xf>
    <xf numFmtId="0" fontId="0" fillId="0" borderId="15" xfId="0" applyBorder="1" applyAlignment="1" applyProtection="1">
      <alignment horizontal="left" vertical="top" wrapText="1"/>
      <protection locked="0"/>
    </xf>
    <xf numFmtId="0" fontId="0" fillId="0" borderId="24" xfId="0" applyFill="1" applyBorder="1" applyAlignment="1">
      <alignment horizontal="left"/>
    </xf>
    <xf numFmtId="0" fontId="0" fillId="0" borderId="28" xfId="0" applyFill="1" applyBorder="1" applyAlignment="1">
      <alignment horizontal="left"/>
    </xf>
    <xf numFmtId="0" fontId="0" fillId="5" borderId="22" xfId="0" applyFill="1" applyBorder="1" applyAlignment="1">
      <alignment horizontal="left"/>
    </xf>
    <xf numFmtId="0" fontId="0" fillId="5" borderId="27" xfId="0" applyFill="1" applyBorder="1" applyAlignment="1">
      <alignment horizontal="left"/>
    </xf>
    <xf numFmtId="0" fontId="0" fillId="0" borderId="22" xfId="0" applyFill="1" applyBorder="1" applyAlignment="1">
      <alignment horizontal="left"/>
    </xf>
    <xf numFmtId="0" fontId="0" fillId="0" borderId="27" xfId="0" applyFill="1" applyBorder="1" applyAlignment="1">
      <alignment horizontal="left"/>
    </xf>
    <xf numFmtId="0" fontId="0" fillId="0" borderId="20" xfId="0" applyFill="1" applyBorder="1" applyAlignment="1">
      <alignment horizontal="left"/>
    </xf>
    <xf numFmtId="0" fontId="0" fillId="0" borderId="26" xfId="0" applyFill="1" applyBorder="1" applyAlignment="1">
      <alignment horizontal="left"/>
    </xf>
    <xf numFmtId="0" fontId="0" fillId="0" borderId="53" xfId="0" applyBorder="1" applyAlignment="1">
      <alignment horizontal="left" vertical="center" wrapText="1"/>
    </xf>
    <xf numFmtId="0" fontId="0" fillId="0" borderId="19"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0" xfId="0" applyBorder="1" applyAlignment="1">
      <alignment horizontal="left" vertical="center" wrapText="1"/>
    </xf>
    <xf numFmtId="0" fontId="0" fillId="0" borderId="46" xfId="0" applyBorder="1" applyAlignment="1">
      <alignment horizontal="left" vertical="center" wrapText="1"/>
    </xf>
    <xf numFmtId="0" fontId="0" fillId="0" borderId="44" xfId="0" applyBorder="1" applyAlignment="1">
      <alignment horizontal="left" vertical="center" wrapText="1"/>
    </xf>
    <xf numFmtId="0" fontId="0" fillId="0" borderId="47" xfId="0" applyBorder="1" applyAlignment="1">
      <alignment horizontal="left" vertical="center" wrapText="1"/>
    </xf>
    <xf numFmtId="0" fontId="0" fillId="0" borderId="35" xfId="0" applyBorder="1" applyAlignment="1">
      <alignment horizontal="left" vertical="center" wrapText="1"/>
    </xf>
    <xf numFmtId="0" fontId="0" fillId="0" borderId="49"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3" fillId="0" borderId="44" xfId="0" applyFont="1" applyBorder="1" applyAlignment="1">
      <alignment horizontal="left" vertical="top" wrapText="1"/>
    </xf>
    <xf numFmtId="0" fontId="3" fillId="0" borderId="47" xfId="0" applyFont="1" applyBorder="1" applyAlignment="1">
      <alignment horizontal="left" vertical="top" wrapText="1"/>
    </xf>
    <xf numFmtId="0" fontId="3" fillId="0" borderId="35" xfId="0" applyFont="1" applyBorder="1" applyAlignment="1">
      <alignment horizontal="left" vertical="top" wrapText="1"/>
    </xf>
    <xf numFmtId="0" fontId="0" fillId="0" borderId="44" xfId="0" applyFont="1" applyBorder="1" applyAlignment="1">
      <alignment horizontal="left"/>
    </xf>
    <xf numFmtId="0" fontId="0" fillId="0" borderId="47" xfId="0" applyFont="1" applyBorder="1" applyAlignment="1">
      <alignment horizontal="left"/>
    </xf>
    <xf numFmtId="0" fontId="0" fillId="0" borderId="35" xfId="0" applyFont="1" applyBorder="1" applyAlignment="1">
      <alignment horizontal="left"/>
    </xf>
    <xf numFmtId="0" fontId="3" fillId="0" borderId="20" xfId="0" applyFont="1" applyBorder="1" applyAlignment="1">
      <alignment horizontal="left"/>
    </xf>
    <xf numFmtId="0" fontId="3" fillId="0" borderId="21" xfId="0" applyFont="1" applyBorder="1" applyAlignment="1">
      <alignment horizontal="left"/>
    </xf>
    <xf numFmtId="0" fontId="3" fillId="0" borderId="58" xfId="0" applyFont="1" applyBorder="1" applyAlignment="1">
      <alignment horizontal="left"/>
    </xf>
    <xf numFmtId="0" fontId="0" fillId="0" borderId="15"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5" borderId="4" xfId="0" applyFill="1" applyBorder="1" applyAlignment="1">
      <alignment horizontal="left" wrapText="1"/>
    </xf>
    <xf numFmtId="0" fontId="0" fillId="5" borderId="5" xfId="0" applyFill="1" applyBorder="1" applyAlignment="1">
      <alignment horizontal="left" wrapText="1"/>
    </xf>
    <xf numFmtId="0" fontId="0" fillId="0" borderId="4" xfId="0" applyFill="1" applyBorder="1" applyAlignment="1">
      <alignment horizontal="left" wrapText="1"/>
    </xf>
    <xf numFmtId="0" fontId="0" fillId="0" borderId="5" xfId="0" applyFont="1" applyFill="1" applyBorder="1" applyAlignment="1">
      <alignment horizontal="left" wrapText="1"/>
    </xf>
    <xf numFmtId="0" fontId="0" fillId="5" borderId="5" xfId="0" applyFont="1" applyFill="1" applyBorder="1" applyAlignment="1">
      <alignment horizontal="left" wrapText="1"/>
    </xf>
    <xf numFmtId="0" fontId="12" fillId="0" borderId="0" xfId="0" applyFont="1" applyAlignment="1">
      <alignment horizontal="left"/>
    </xf>
    <xf numFmtId="0" fontId="0" fillId="0" borderId="25" xfId="0" applyFill="1" applyBorder="1" applyAlignment="1">
      <alignment horizontal="left"/>
    </xf>
    <xf numFmtId="0" fontId="0" fillId="5" borderId="23" xfId="0" applyFill="1" applyBorder="1" applyAlignment="1">
      <alignment horizontal="left"/>
    </xf>
    <xf numFmtId="0" fontId="0" fillId="0" borderId="23" xfId="0" applyFill="1" applyBorder="1" applyAlignment="1">
      <alignment horizontal="left"/>
    </xf>
    <xf numFmtId="0" fontId="0" fillId="0" borderId="21" xfId="0" applyFill="1" applyBorder="1" applyAlignment="1">
      <alignment horizontal="left"/>
    </xf>
    <xf numFmtId="0" fontId="0" fillId="0" borderId="19" xfId="0" applyFont="1" applyBorder="1" applyAlignment="1">
      <alignment horizontal="left" vertical="top" wrapText="1"/>
    </xf>
    <xf numFmtId="0" fontId="0" fillId="0" borderId="48" xfId="0" applyFont="1" applyBorder="1" applyAlignment="1">
      <alignment horizontal="left" vertical="top" wrapText="1"/>
    </xf>
    <xf numFmtId="0" fontId="0" fillId="0" borderId="49" xfId="0" applyFont="1" applyBorder="1" applyAlignment="1">
      <alignment horizontal="left" vertical="top" wrapText="1"/>
    </xf>
    <xf numFmtId="0" fontId="0" fillId="0" borderId="0" xfId="0" applyFont="1" applyBorder="1" applyAlignment="1">
      <alignment horizontal="left" vertical="top" wrapText="1"/>
    </xf>
    <xf numFmtId="0" fontId="0" fillId="0" borderId="46" xfId="0" applyFont="1" applyBorder="1" applyAlignment="1">
      <alignment horizontal="left" vertical="top" wrapText="1"/>
    </xf>
    <xf numFmtId="0" fontId="3" fillId="0" borderId="19" xfId="0" applyFont="1" applyBorder="1" applyAlignment="1">
      <alignment horizontal="left" vertical="top"/>
    </xf>
    <xf numFmtId="0" fontId="3" fillId="0" borderId="48" xfId="0" applyFont="1" applyBorder="1" applyAlignment="1">
      <alignment horizontal="left" vertical="top"/>
    </xf>
    <xf numFmtId="0" fontId="3" fillId="0" borderId="49" xfId="0" applyFont="1" applyBorder="1" applyAlignment="1">
      <alignment horizontal="left" vertical="top"/>
    </xf>
    <xf numFmtId="0" fontId="3" fillId="0" borderId="0" xfId="0" applyFont="1" applyBorder="1" applyAlignment="1">
      <alignment horizontal="left" vertical="top"/>
    </xf>
    <xf numFmtId="0" fontId="3" fillId="0" borderId="46" xfId="0" applyFont="1" applyBorder="1" applyAlignment="1">
      <alignment horizontal="left" vertical="top"/>
    </xf>
    <xf numFmtId="0" fontId="0" fillId="0" borderId="24" xfId="0" applyFill="1" applyBorder="1" applyAlignment="1">
      <alignment horizontal="left" wrapText="1"/>
    </xf>
    <xf numFmtId="0" fontId="0" fillId="0" borderId="28" xfId="0" applyFill="1" applyBorder="1" applyAlignment="1">
      <alignment horizontal="left" wrapText="1"/>
    </xf>
    <xf numFmtId="0" fontId="0" fillId="5" borderId="22" xfId="0" applyFill="1" applyBorder="1" applyAlignment="1">
      <alignment horizontal="left" wrapText="1"/>
    </xf>
    <xf numFmtId="0" fontId="0" fillId="5" borderId="27" xfId="0" applyFill="1" applyBorder="1" applyAlignment="1">
      <alignment horizontal="left" wrapText="1"/>
    </xf>
    <xf numFmtId="0" fontId="0" fillId="0" borderId="22" xfId="0" applyFill="1" applyBorder="1" applyAlignment="1">
      <alignment horizontal="left" wrapText="1"/>
    </xf>
    <xf numFmtId="0" fontId="0" fillId="0" borderId="27" xfId="0" applyFill="1" applyBorder="1" applyAlignment="1">
      <alignment horizontal="left" wrapText="1"/>
    </xf>
    <xf numFmtId="0" fontId="0" fillId="0" borderId="20" xfId="0" applyFill="1" applyBorder="1" applyAlignment="1">
      <alignment horizontal="left" wrapText="1"/>
    </xf>
    <xf numFmtId="0" fontId="0" fillId="0" borderId="26" xfId="0" applyFill="1" applyBorder="1" applyAlignment="1">
      <alignment horizontal="left" wrapText="1"/>
    </xf>
    <xf numFmtId="0" fontId="3" fillId="0" borderId="20" xfId="0" applyFont="1" applyBorder="1" applyAlignment="1">
      <alignment horizontal="left" vertical="top"/>
    </xf>
    <xf numFmtId="0" fontId="3" fillId="0" borderId="21" xfId="0" applyFont="1" applyBorder="1" applyAlignment="1">
      <alignment horizontal="left" vertical="top"/>
    </xf>
    <xf numFmtId="0" fontId="3" fillId="0" borderId="58" xfId="0" applyFont="1" applyBorder="1" applyAlignment="1">
      <alignment horizontal="left" vertical="top"/>
    </xf>
    <xf numFmtId="0" fontId="62" fillId="0" borderId="0" xfId="0" applyFont="1" applyAlignment="1">
      <alignment horizontal="left" vertical="top" wrapText="1"/>
    </xf>
    <xf numFmtId="0" fontId="0" fillId="0" borderId="0" xfId="0" applyBorder="1" applyProtection="1">
      <protection locked="0"/>
    </xf>
    <xf numFmtId="0" fontId="0" fillId="0" borderId="46" xfId="0" applyBorder="1" applyProtection="1">
      <protection locked="0"/>
    </xf>
    <xf numFmtId="0" fontId="0" fillId="0" borderId="49" xfId="0" applyBorder="1" applyProtection="1">
      <protection locked="0"/>
    </xf>
    <xf numFmtId="0" fontId="0" fillId="0" borderId="0" xfId="0" applyProtection="1">
      <protection locked="0"/>
    </xf>
    <xf numFmtId="0" fontId="0" fillId="0" borderId="54" xfId="0" applyBorder="1" applyProtection="1">
      <protection locked="0"/>
    </xf>
    <xf numFmtId="0" fontId="0" fillId="0" borderId="1" xfId="0" applyBorder="1" applyProtection="1">
      <protection locked="0"/>
    </xf>
    <xf numFmtId="0" fontId="0" fillId="0" borderId="45" xfId="0" applyBorder="1" applyProtection="1">
      <protection locked="0"/>
    </xf>
    <xf numFmtId="0" fontId="0" fillId="0" borderId="54" xfId="0" applyBorder="1" applyAlignment="1">
      <alignment horizontal="left" wrapText="1"/>
    </xf>
    <xf numFmtId="0" fontId="0" fillId="0" borderId="1" xfId="0" applyBorder="1" applyAlignment="1">
      <alignment horizontal="left" wrapText="1"/>
    </xf>
    <xf numFmtId="0" fontId="0" fillId="0" borderId="45" xfId="0" applyBorder="1" applyAlignment="1">
      <alignment horizontal="left" wrapText="1"/>
    </xf>
    <xf numFmtId="0" fontId="3" fillId="0" borderId="20" xfId="0" applyFont="1" applyBorder="1" applyAlignment="1">
      <alignment horizontal="left" wrapText="1"/>
    </xf>
    <xf numFmtId="0" fontId="3" fillId="0" borderId="21" xfId="0" applyFont="1" applyBorder="1" applyAlignment="1">
      <alignment horizontal="left" wrapText="1"/>
    </xf>
    <xf numFmtId="0" fontId="3" fillId="0" borderId="58" xfId="0" applyFont="1" applyBorder="1" applyAlignment="1">
      <alignment horizontal="left" wrapText="1"/>
    </xf>
    <xf numFmtId="0" fontId="3" fillId="0" borderId="75" xfId="0" applyFont="1" applyBorder="1" applyAlignment="1">
      <alignment horizontal="left" wrapText="1"/>
    </xf>
    <xf numFmtId="0" fontId="0" fillId="0" borderId="1" xfId="0" applyFont="1" applyBorder="1" applyAlignment="1">
      <alignment horizontal="left" wrapText="1"/>
    </xf>
    <xf numFmtId="0" fontId="0" fillId="0" borderId="45" xfId="0" applyFont="1" applyBorder="1" applyAlignment="1">
      <alignment horizontal="left" wrapText="1"/>
    </xf>
    <xf numFmtId="0" fontId="16" fillId="3" borderId="31" xfId="0" applyFont="1" applyFill="1" applyBorder="1" applyAlignment="1">
      <alignment horizontal="center" vertical="center"/>
    </xf>
    <xf numFmtId="0" fontId="16" fillId="3" borderId="33" xfId="0" applyFont="1" applyFill="1" applyBorder="1" applyAlignment="1">
      <alignment horizontal="center" vertical="center"/>
    </xf>
    <xf numFmtId="166" fontId="5" fillId="0" borderId="22" xfId="2" applyNumberFormat="1" applyFont="1" applyBorder="1" applyAlignment="1">
      <alignment horizontal="center"/>
    </xf>
    <xf numFmtId="166" fontId="5" fillId="0" borderId="27" xfId="2" applyNumberFormat="1" applyFont="1" applyBorder="1" applyAlignment="1">
      <alignment horizontal="center"/>
    </xf>
    <xf numFmtId="166" fontId="5" fillId="0" borderId="31" xfId="2" applyNumberFormat="1" applyFont="1" applyBorder="1" applyAlignment="1">
      <alignment horizontal="center"/>
    </xf>
    <xf numFmtId="166" fontId="5" fillId="0" borderId="43" xfId="2" applyNumberFormat="1" applyFont="1" applyBorder="1" applyAlignment="1">
      <alignment horizontal="center"/>
    </xf>
    <xf numFmtId="0" fontId="1" fillId="0" borderId="53" xfId="0" applyFont="1" applyBorder="1" applyAlignment="1">
      <alignment horizontal="left" vertical="top" wrapText="1"/>
    </xf>
    <xf numFmtId="0" fontId="1" fillId="0" borderId="19" xfId="0" applyFont="1" applyBorder="1" applyAlignment="1">
      <alignment horizontal="left" vertical="top" wrapText="1"/>
    </xf>
    <xf numFmtId="0" fontId="1" fillId="0" borderId="48" xfId="0" applyFont="1" applyBorder="1" applyAlignment="1">
      <alignment horizontal="left" vertical="top" wrapText="1"/>
    </xf>
    <xf numFmtId="0" fontId="1" fillId="0" borderId="49" xfId="0" applyFont="1" applyBorder="1" applyAlignment="1">
      <alignment horizontal="left" vertical="top" wrapText="1"/>
    </xf>
    <xf numFmtId="0" fontId="1" fillId="0" borderId="0" xfId="0" applyFont="1" applyBorder="1" applyAlignment="1">
      <alignment horizontal="left" vertical="top" wrapText="1"/>
    </xf>
    <xf numFmtId="0" fontId="1" fillId="0" borderId="46" xfId="0" applyFont="1" applyBorder="1" applyAlignment="1">
      <alignment horizontal="left" vertical="top" wrapText="1"/>
    </xf>
    <xf numFmtId="0" fontId="1" fillId="0" borderId="44" xfId="0" applyFont="1" applyBorder="1" applyAlignment="1">
      <alignment horizontal="left" vertical="top" wrapText="1"/>
    </xf>
    <xf numFmtId="0" fontId="1" fillId="0" borderId="47" xfId="0" applyFont="1" applyBorder="1" applyAlignment="1">
      <alignment horizontal="left" vertical="top" wrapText="1"/>
    </xf>
    <xf numFmtId="0" fontId="1" fillId="0" borderId="35" xfId="0" applyFont="1" applyBorder="1" applyAlignment="1">
      <alignment horizontal="left" vertical="top" wrapText="1"/>
    </xf>
    <xf numFmtId="0" fontId="5" fillId="0" borderId="4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6"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45" xfId="0" applyFont="1" applyBorder="1" applyAlignment="1" applyProtection="1">
      <alignment horizontal="left" vertical="top" wrapText="1"/>
      <protection locked="0"/>
    </xf>
    <xf numFmtId="0" fontId="13" fillId="3" borderId="31" xfId="44" applyFont="1" applyFill="1" applyBorder="1" applyAlignment="1">
      <alignment horizontal="left" wrapText="1"/>
    </xf>
    <xf numFmtId="0" fontId="13" fillId="3" borderId="33" xfId="44" applyFont="1" applyFill="1" applyBorder="1" applyAlignment="1">
      <alignment horizontal="left" wrapText="1"/>
    </xf>
  </cellXfs>
  <cellStyles count="52">
    <cellStyle name="Comma" xfId="3" builtinId="3"/>
    <cellStyle name="Comma 2" xfId="47"/>
    <cellStyle name="Comma 2 10" xfId="8"/>
    <cellStyle name="Comma 2 2" xfId="9"/>
    <cellStyle name="Comma 2 3" xfId="10"/>
    <cellStyle name="Comma 2 4" xfId="11"/>
    <cellStyle name="Comma 2 5" xfId="12"/>
    <cellStyle name="Comma 2 6" xfId="13"/>
    <cellStyle name="Comma 2 7" xfId="14"/>
    <cellStyle name="Comma 2 8" xfId="15"/>
    <cellStyle name="Comma 2 9" xfId="16"/>
    <cellStyle name="Comma 5" xfId="17"/>
    <cellStyle name="Currency" xfId="1" builtinId="4"/>
    <cellStyle name="Currency 2" xfId="18"/>
    <cellStyle name="Currency 7" xfId="19"/>
    <cellStyle name="Currency 9" xfId="20"/>
    <cellStyle name="Heading 1 2" xfId="5"/>
    <cellStyle name="Heading 2 2" xfId="42"/>
    <cellStyle name="Heading 3 2" xfId="7"/>
    <cellStyle name="Heading 4 2" xfId="43"/>
    <cellStyle name="Hyperlink" xfId="4" builtinId="8"/>
    <cellStyle name="Hyperlink 2" xfId="50"/>
    <cellStyle name="Normal" xfId="0" builtinId="0"/>
    <cellStyle name="Normal 10" xfId="21"/>
    <cellStyle name="Normal 11" xfId="44"/>
    <cellStyle name="Normal 2" xfId="6"/>
    <cellStyle name="Normal 2 2" xfId="51"/>
    <cellStyle name="Normal 3" xfId="22"/>
    <cellStyle name="Normal 4" xfId="23"/>
    <cellStyle name="Normal 5" xfId="24"/>
    <cellStyle name="Normal 6" xfId="25"/>
    <cellStyle name="Normal 7" xfId="26"/>
    <cellStyle name="Normal 8" xfId="27"/>
    <cellStyle name="Normal 9" xfId="28"/>
    <cellStyle name="Normal_Oct_2005_mailingZIP_conversion" xfId="46"/>
    <cellStyle name="Normal_Sheet1" xfId="48"/>
    <cellStyle name="Percent" xfId="2" builtinId="5"/>
    <cellStyle name="Percent 2" xfId="29"/>
    <cellStyle name="Percent 2 10" xfId="30"/>
    <cellStyle name="Percent 2 2" xfId="31"/>
    <cellStyle name="Percent 2 3" xfId="32"/>
    <cellStyle name="Percent 2 4" xfId="33"/>
    <cellStyle name="Percent 2 5" xfId="34"/>
    <cellStyle name="Percent 2 6" xfId="35"/>
    <cellStyle name="Percent 2 7" xfId="36"/>
    <cellStyle name="Percent 2 8" xfId="37"/>
    <cellStyle name="Percent 2 9" xfId="38"/>
    <cellStyle name="Percent 3" xfId="45"/>
    <cellStyle name="Percent 5" xfId="39"/>
    <cellStyle name="Percent 7" xfId="40"/>
    <cellStyle name="Percent 8" xfId="41"/>
    <cellStyle name="Style 1" xfId="49"/>
  </cellStyles>
  <dxfs count="131">
    <dxf>
      <font>
        <b val="0"/>
        <i val="0"/>
        <strike val="0"/>
        <condense val="0"/>
        <extend val="0"/>
        <outline val="0"/>
        <shadow val="0"/>
        <u val="none"/>
        <vertAlign val="baseline"/>
        <sz val="11"/>
        <color indexed="8"/>
        <name val="Calibri"/>
        <scheme val="minor"/>
      </font>
      <numFmt numFmtId="166" formatCode="0.0%"/>
      <fill>
        <patternFill patternType="none">
          <fgColor indexed="64"/>
          <bgColor indexed="65"/>
        </patternFill>
      </fill>
      <alignment horizontal="center" vertical="bottom" textRotation="0" wrapText="0" indent="0" relativeIndent="0" justifyLastLine="0" shrinkToFit="0" mergeCell="0" readingOrder="0"/>
      <border diagonalUp="0" diagonalDown="0">
        <left style="thin">
          <color auto="1"/>
        </left>
        <right/>
        <top style="hair">
          <color auto="1"/>
        </top>
        <bottom style="hair">
          <color auto="1"/>
        </bottom>
      </border>
      <protection locked="0" hidden="0"/>
    </dxf>
    <dxf>
      <font>
        <b val="0"/>
        <i val="0"/>
        <strike val="0"/>
        <condense val="0"/>
        <extend val="0"/>
        <outline val="0"/>
        <shadow val="0"/>
        <u val="none"/>
        <vertAlign val="baseline"/>
        <sz val="11"/>
        <color indexed="8"/>
        <name val="Calibri"/>
        <scheme val="minor"/>
      </font>
      <numFmt numFmtId="166" formatCode="0.0%"/>
      <fill>
        <patternFill patternType="none">
          <fgColor indexed="64"/>
          <bgColor indexed="65"/>
        </patternFill>
      </fill>
      <alignment horizontal="center" vertical="bottom" textRotation="0" wrapText="0" indent="0" relativeIndent="0" justifyLastLine="0" shrinkToFit="0" mergeCell="0" readingOrder="0"/>
      <border diagonalUp="0" diagonalDown="0" outline="0">
        <left style="thin">
          <color indexed="64"/>
        </left>
        <right style="thin">
          <color indexed="64"/>
        </right>
        <top style="hair">
          <color indexed="64"/>
        </top>
        <bottom style="hair">
          <color indexed="64"/>
        </bottom>
      </border>
    </dxf>
    <dxf>
      <font>
        <b val="0"/>
        <i val="0"/>
        <strike val="0"/>
        <condense val="0"/>
        <extend val="0"/>
        <outline val="0"/>
        <shadow val="0"/>
        <u val="none"/>
        <vertAlign val="baseline"/>
        <sz val="11"/>
        <color indexed="8"/>
        <name val="Calibri"/>
        <scheme val="minor"/>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outline="0">
        <left style="thin">
          <color indexed="64"/>
        </left>
        <right style="thin">
          <color indexed="64"/>
        </right>
        <top style="hair">
          <color indexed="64"/>
        </top>
        <bottom style="hair">
          <color indexed="64"/>
        </bottom>
      </border>
    </dxf>
    <dxf>
      <font>
        <b val="0"/>
        <i val="0"/>
        <strike val="0"/>
        <condense val="0"/>
        <extend val="0"/>
        <outline val="0"/>
        <shadow val="0"/>
        <u val="none"/>
        <vertAlign val="baseline"/>
        <sz val="11"/>
        <color indexed="8"/>
        <name val="Calibri"/>
        <scheme val="minor"/>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outline="0">
        <left/>
        <right style="thin">
          <color indexed="64"/>
        </right>
        <top style="hair">
          <color auto="1"/>
        </top>
        <bottom style="hair">
          <color auto="1"/>
        </bottom>
      </border>
    </dxf>
    <dxf>
      <border outline="0">
        <left style="thin">
          <color indexed="64"/>
        </left>
        <right style="thin">
          <color indexed="64"/>
        </right>
        <top style="thin">
          <color indexed="64"/>
        </top>
        <bottom style="thin">
          <color auto="1"/>
        </bottom>
      </border>
    </dxf>
    <dxf>
      <fill>
        <patternFill patternType="none">
          <fgColor indexed="64"/>
          <bgColor auto="1"/>
        </patternFill>
      </fill>
    </dxf>
    <dxf>
      <border outline="0">
        <bottom style="thin">
          <color indexed="64"/>
        </bottom>
      </border>
    </dxf>
    <dxf>
      <fill>
        <patternFill>
          <bgColor rgb="FFFFFF00"/>
        </patternFill>
      </fill>
    </dxf>
    <dxf>
      <fill>
        <patternFill>
          <bgColor rgb="FFFFFF00"/>
        </patternFill>
      </fill>
    </dxf>
    <dxf>
      <font>
        <b/>
        <i val="0"/>
      </font>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dxf>
    <dxf>
      <fill>
        <patternFill>
          <bgColor rgb="FFFFFF00"/>
        </patternFill>
      </fill>
    </dxf>
    <dxf>
      <fill>
        <patternFill>
          <bgColor rgb="FFFFFF00"/>
        </patternFill>
      </fill>
    </dxf>
    <dxf>
      <font>
        <b/>
        <i val="0"/>
      </font>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border>
        <left style="thin">
          <color auto="1"/>
        </left>
        <right style="thin">
          <color auto="1"/>
        </right>
        <top style="hair">
          <color auto="1"/>
        </top>
        <bottom style="thin">
          <color auto="1"/>
        </bottom>
        <vertical/>
        <horizontal/>
      </border>
    </dxf>
    <dxf>
      <font>
        <color theme="1"/>
      </font>
      <fill>
        <patternFill>
          <bgColor rgb="FFFFFF00"/>
        </patternFill>
      </fill>
      <border>
        <left style="thin">
          <color auto="1"/>
        </left>
        <right style="thin">
          <color auto="1"/>
        </right>
        <top style="hair">
          <color auto="1"/>
        </top>
        <bottom style="thin">
          <color auto="1"/>
        </bottom>
      </border>
    </dxf>
    <dxf>
      <font>
        <b/>
        <i val="0"/>
        <color theme="1"/>
      </font>
    </dxf>
    <dxf>
      <font>
        <b/>
        <i val="0"/>
      </font>
    </dxf>
    <dxf>
      <fill>
        <patternFill>
          <bgColor rgb="FFFFFF00"/>
        </patternFill>
      </fill>
    </dxf>
    <dxf>
      <fill>
        <patternFill>
          <bgColor rgb="FFFFFF00"/>
        </patternFill>
      </fill>
    </dxf>
    <dxf>
      <fill>
        <patternFill>
          <bgColor rgb="FFFFFF00"/>
        </patternFill>
      </fill>
    </dxf>
    <dxf>
      <fill>
        <patternFill>
          <bgColor rgb="FFFFFF00"/>
        </patternFill>
      </fill>
    </dxf>
    <dxf>
      <font>
        <b/>
        <i val="0"/>
      </font>
    </dxf>
    <dxf>
      <font>
        <b/>
        <i val="0"/>
      </font>
    </dxf>
    <dxf>
      <fill>
        <patternFill>
          <bgColor rgb="FFFFFF00"/>
        </patternFill>
      </fill>
    </dxf>
    <dxf>
      <font>
        <b/>
        <i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dxf>
    <dxf>
      <fill>
        <patternFill>
          <bgColor rgb="FFFFFF00"/>
        </patternFill>
      </fill>
    </dxf>
    <dxf>
      <fill>
        <patternFill>
          <bgColor rgb="FFFFFF00"/>
        </patternFill>
      </fill>
    </dxf>
    <dxf>
      <font>
        <b/>
        <i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b/>
        <i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bgColor rgb="FFFFFF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00FF"/>
      <color rgb="FF297083"/>
      <color rgb="FFF7EAE9"/>
      <color rgb="FFEBC8C7"/>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clrMapOvr bg1="lt1" tx1="dk1" bg2="lt2" tx2="dk2" accent1="accent1" accent2="accent2" accent3="accent3" accent4="accent4" accent5="accent5" accent6="accent6" hlink="hlink" folHlink="folHlink"/>
  <c:chart>
    <c:title>
      <c:tx>
        <c:rich>
          <a:bodyPr/>
          <a:lstStyle/>
          <a:p>
            <a:pPr>
              <a:defRPr sz="1400"/>
            </a:pPr>
            <a:r>
              <a:rPr lang="en-US" sz="1400" b="0"/>
              <a:t>Average Premium</a:t>
            </a:r>
            <a:br>
              <a:rPr lang="en-US" sz="1400" b="0"/>
            </a:br>
            <a:r>
              <a:rPr lang="en-US" sz="1400" b="0"/>
              <a:t>at Current Rate Level</a:t>
            </a:r>
          </a:p>
        </c:rich>
      </c:tx>
      <c:layout>
        <c:manualLayout>
          <c:xMode val="edge"/>
          <c:yMode val="edge"/>
          <c:x val="0.28522429014555817"/>
          <c:y val="2.5706940874036001E-2"/>
        </c:manualLayout>
      </c:layout>
    </c:title>
    <c:plotArea>
      <c:layout>
        <c:manualLayout>
          <c:layoutTarget val="inner"/>
          <c:xMode val="edge"/>
          <c:yMode val="edge"/>
          <c:x val="0.12620424719637593"/>
          <c:y val="0.22323062218378767"/>
          <c:w val="0.65763493199713674"/>
          <c:h val="0.60010024788568095"/>
        </c:manualLayout>
      </c:layout>
      <c:scatterChart>
        <c:scatterStyle val="smoothMarker"/>
        <c:ser>
          <c:idx val="1"/>
          <c:order val="0"/>
          <c:tx>
            <c:strRef>
              <c:f>'3A-Premium Trend'!$G$8</c:f>
              <c:strCache>
                <c:ptCount val="1"/>
                <c:pt idx="0">
                  <c:v>Quarterly</c:v>
                </c:pt>
              </c:strCache>
            </c:strRef>
          </c:tx>
          <c:spPr>
            <a:ln>
              <a:solidFill>
                <a:srgbClr val="9BBB59">
                  <a:lumMod val="75000"/>
                </a:srgbClr>
              </a:solidFill>
            </a:ln>
            <a:effectLst>
              <a:outerShdw blurRad="50800" dist="38100" dir="2700000" algn="tl" rotWithShape="0">
                <a:prstClr val="black">
                  <a:alpha val="40000"/>
                </a:prstClr>
              </a:outerShdw>
            </a:effectLst>
          </c:spPr>
          <c:marker>
            <c:symbol val="diamond"/>
            <c:size val="6"/>
            <c:spPr>
              <a:solidFill>
                <a:srgbClr val="9BBB59">
                  <a:lumMod val="50000"/>
                </a:srgbClr>
              </a:solidFill>
              <a:ln>
                <a:solidFill>
                  <a:srgbClr val="9BBB59">
                    <a:lumMod val="50000"/>
                  </a:srgbClr>
                </a:solidFill>
              </a:ln>
              <a:effectLst>
                <a:outerShdw blurRad="50800" dist="38100" dir="2700000" algn="tl" rotWithShape="0">
                  <a:prstClr val="black">
                    <a:alpha val="40000"/>
                  </a:prstClr>
                </a:outerShdw>
              </a:effectLst>
            </c:spPr>
          </c:marker>
          <c:xVal>
            <c:strRef>
              <c:f>'3A-Premium Trend'!$F$9:$F$32</c:f>
              <c:strCache>
                <c:ptCount val="24"/>
                <c:pt idx="0">
                  <c:v>_Q 20__</c:v>
                </c:pt>
                <c:pt idx="1">
                  <c:v>_Q 20__</c:v>
                </c:pt>
                <c:pt idx="2">
                  <c:v>_Q 20__</c:v>
                </c:pt>
                <c:pt idx="3">
                  <c:v>_Q 20__</c:v>
                </c:pt>
                <c:pt idx="4">
                  <c:v>_Q 20__</c:v>
                </c:pt>
                <c:pt idx="5">
                  <c:v>_Q 20__</c:v>
                </c:pt>
                <c:pt idx="6">
                  <c:v>_Q 20__</c:v>
                </c:pt>
                <c:pt idx="7">
                  <c:v>_Q 20__</c:v>
                </c:pt>
                <c:pt idx="8">
                  <c:v>_Q 20__</c:v>
                </c:pt>
                <c:pt idx="9">
                  <c:v>_Q 20__</c:v>
                </c:pt>
                <c:pt idx="10">
                  <c:v>_Q 20__</c:v>
                </c:pt>
                <c:pt idx="11">
                  <c:v>_Q 20__</c:v>
                </c:pt>
                <c:pt idx="12">
                  <c:v>_Q 20__</c:v>
                </c:pt>
                <c:pt idx="13">
                  <c:v>_Q 20__</c:v>
                </c:pt>
                <c:pt idx="14">
                  <c:v>_Q 20__</c:v>
                </c:pt>
                <c:pt idx="15">
                  <c:v>_Q 20__</c:v>
                </c:pt>
                <c:pt idx="16">
                  <c:v>_Q 20__</c:v>
                </c:pt>
                <c:pt idx="17">
                  <c:v>_Q 20__</c:v>
                </c:pt>
                <c:pt idx="18">
                  <c:v>_Q 20__</c:v>
                </c:pt>
                <c:pt idx="19">
                  <c:v>_Q 20__</c:v>
                </c:pt>
                <c:pt idx="20">
                  <c:v>_Q 20__</c:v>
                </c:pt>
                <c:pt idx="21">
                  <c:v>_Q 20__</c:v>
                </c:pt>
                <c:pt idx="22">
                  <c:v>_Q 20__</c:v>
                </c:pt>
                <c:pt idx="23">
                  <c:v>_Q 20__</c:v>
                </c:pt>
              </c:strCache>
            </c:strRef>
          </c:xVal>
          <c:yVal>
            <c:numRef>
              <c:f>'3A-Premium Trend'!$G$9:$G$32</c:f>
              <c:numCache>
                <c:formatCode>"$"#,##0_);\("$"#,##0\)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ser>
        <c:axId val="212089472"/>
        <c:axId val="212095744"/>
      </c:scatterChart>
      <c:lineChart>
        <c:grouping val="standard"/>
        <c:ser>
          <c:idx val="0"/>
          <c:order val="1"/>
          <c:tx>
            <c:strRef>
              <c:f>'3A-Premium Trend'!$H$8</c:f>
              <c:strCache>
                <c:ptCount val="1"/>
                <c:pt idx="0">
                  <c:v>Four-Quarter-Ending</c:v>
                </c:pt>
              </c:strCache>
            </c:strRef>
          </c:tx>
          <c:spPr>
            <a:effectLst>
              <a:outerShdw blurRad="50800" dist="38100" dir="2700000" algn="tl" rotWithShape="0">
                <a:prstClr val="black">
                  <a:alpha val="40000"/>
                </a:prstClr>
              </a:outerShdw>
            </a:effectLst>
          </c:spPr>
          <c:marker>
            <c:symbol val="circle"/>
            <c:size val="4"/>
            <c:spPr>
              <a:effectLst>
                <a:outerShdw blurRad="50800" dist="38100" dir="2700000" algn="tl" rotWithShape="0">
                  <a:prstClr val="black">
                    <a:alpha val="40000"/>
                  </a:prstClr>
                </a:outerShdw>
              </a:effectLst>
            </c:spPr>
          </c:marker>
          <c:cat>
            <c:strRef>
              <c:f>'3A-Premium Trend'!$F$9:$F$32</c:f>
              <c:strCache>
                <c:ptCount val="24"/>
                <c:pt idx="0">
                  <c:v>_Q 20__</c:v>
                </c:pt>
                <c:pt idx="1">
                  <c:v>_Q 20__</c:v>
                </c:pt>
                <c:pt idx="2">
                  <c:v>_Q 20__</c:v>
                </c:pt>
                <c:pt idx="3">
                  <c:v>_Q 20__</c:v>
                </c:pt>
                <c:pt idx="4">
                  <c:v>_Q 20__</c:v>
                </c:pt>
                <c:pt idx="5">
                  <c:v>_Q 20__</c:v>
                </c:pt>
                <c:pt idx="6">
                  <c:v>_Q 20__</c:v>
                </c:pt>
                <c:pt idx="7">
                  <c:v>_Q 20__</c:v>
                </c:pt>
                <c:pt idx="8">
                  <c:v>_Q 20__</c:v>
                </c:pt>
                <c:pt idx="9">
                  <c:v>_Q 20__</c:v>
                </c:pt>
                <c:pt idx="10">
                  <c:v>_Q 20__</c:v>
                </c:pt>
                <c:pt idx="11">
                  <c:v>_Q 20__</c:v>
                </c:pt>
                <c:pt idx="12">
                  <c:v>_Q 20__</c:v>
                </c:pt>
                <c:pt idx="13">
                  <c:v>_Q 20__</c:v>
                </c:pt>
                <c:pt idx="14">
                  <c:v>_Q 20__</c:v>
                </c:pt>
                <c:pt idx="15">
                  <c:v>_Q 20__</c:v>
                </c:pt>
                <c:pt idx="16">
                  <c:v>_Q 20__</c:v>
                </c:pt>
                <c:pt idx="17">
                  <c:v>_Q 20__</c:v>
                </c:pt>
                <c:pt idx="18">
                  <c:v>_Q 20__</c:v>
                </c:pt>
                <c:pt idx="19">
                  <c:v>_Q 20__</c:v>
                </c:pt>
                <c:pt idx="20">
                  <c:v>_Q 20__</c:v>
                </c:pt>
                <c:pt idx="21">
                  <c:v>_Q 20__</c:v>
                </c:pt>
                <c:pt idx="22">
                  <c:v>_Q 20__</c:v>
                </c:pt>
                <c:pt idx="23">
                  <c:v>_Q 20__</c:v>
                </c:pt>
              </c:strCache>
            </c:strRef>
          </c:cat>
          <c:val>
            <c:numRef>
              <c:f>'3A-Premium Trend'!$H$9:$H$32</c:f>
              <c:numCache>
                <c:formatCode>"$"#,##0.00</c:formatCode>
                <c:ptCount val="24"/>
                <c:pt idx="3" formatCode="&quot;$&quot;#,##0_);\(&quot;$&quot;#,##0\)">
                  <c:v>0</c:v>
                </c:pt>
                <c:pt idx="4" formatCode="&quot;$&quot;#,##0_);\(&quot;$&quot;#,##0\)">
                  <c:v>0</c:v>
                </c:pt>
                <c:pt idx="5" formatCode="&quot;$&quot;#,##0_);\(&quot;$&quot;#,##0\)">
                  <c:v>0</c:v>
                </c:pt>
                <c:pt idx="6" formatCode="&quot;$&quot;#,##0_);\(&quot;$&quot;#,##0\)">
                  <c:v>0</c:v>
                </c:pt>
                <c:pt idx="7" formatCode="&quot;$&quot;#,##0_);\(&quot;$&quot;#,##0\)">
                  <c:v>0</c:v>
                </c:pt>
                <c:pt idx="8" formatCode="&quot;$&quot;#,##0_);\(&quot;$&quot;#,##0\)">
                  <c:v>0</c:v>
                </c:pt>
                <c:pt idx="9" formatCode="&quot;$&quot;#,##0_);\(&quot;$&quot;#,##0\)">
                  <c:v>0</c:v>
                </c:pt>
                <c:pt idx="10" formatCode="&quot;$&quot;#,##0_);\(&quot;$&quot;#,##0\)">
                  <c:v>0</c:v>
                </c:pt>
                <c:pt idx="11" formatCode="&quot;$&quot;#,##0_);\(&quot;$&quot;#,##0\)">
                  <c:v>0</c:v>
                </c:pt>
                <c:pt idx="12" formatCode="&quot;$&quot;#,##0_);\(&quot;$&quot;#,##0\)">
                  <c:v>0</c:v>
                </c:pt>
                <c:pt idx="13" formatCode="&quot;$&quot;#,##0_);\(&quot;$&quot;#,##0\)">
                  <c:v>0</c:v>
                </c:pt>
                <c:pt idx="14" formatCode="&quot;$&quot;#,##0_);\(&quot;$&quot;#,##0\)">
                  <c:v>0</c:v>
                </c:pt>
                <c:pt idx="15" formatCode="&quot;$&quot;#,##0_);\(&quot;$&quot;#,##0\)">
                  <c:v>0</c:v>
                </c:pt>
                <c:pt idx="16" formatCode="&quot;$&quot;#,##0_);\(&quot;$&quot;#,##0\)">
                  <c:v>0</c:v>
                </c:pt>
                <c:pt idx="17" formatCode="&quot;$&quot;#,##0_);\(&quot;$&quot;#,##0\)">
                  <c:v>0</c:v>
                </c:pt>
                <c:pt idx="18" formatCode="&quot;$&quot;#,##0_);\(&quot;$&quot;#,##0\)">
                  <c:v>0</c:v>
                </c:pt>
                <c:pt idx="19" formatCode="&quot;$&quot;#,##0_);\(&quot;$&quot;#,##0\)">
                  <c:v>0</c:v>
                </c:pt>
                <c:pt idx="20" formatCode="&quot;$&quot;#,##0_);\(&quot;$&quot;#,##0\)">
                  <c:v>0</c:v>
                </c:pt>
                <c:pt idx="21" formatCode="&quot;$&quot;#,##0_);\(&quot;$&quot;#,##0\)">
                  <c:v>0</c:v>
                </c:pt>
                <c:pt idx="22" formatCode="&quot;$&quot;#,##0_);\(&quot;$&quot;#,##0\)">
                  <c:v>0</c:v>
                </c:pt>
                <c:pt idx="23" formatCode="&quot;$&quot;#,##0_);\(&quot;$&quot;#,##0\)">
                  <c:v>0</c:v>
                </c:pt>
              </c:numCache>
            </c:numRef>
          </c:val>
        </c:ser>
        <c:marker val="1"/>
        <c:axId val="212089472"/>
        <c:axId val="212095744"/>
      </c:lineChart>
      <c:catAx>
        <c:axId val="212089472"/>
        <c:scaling>
          <c:orientation val="minMax"/>
        </c:scaling>
        <c:axPos val="b"/>
        <c:numFmt formatCode="mm/yyyy" sourceLinked="1"/>
        <c:minorTickMark val="in"/>
        <c:tickLblPos val="nextTo"/>
        <c:txPr>
          <a:bodyPr rot="-2700000"/>
          <a:lstStyle/>
          <a:p>
            <a:pPr>
              <a:defRPr sz="900"/>
            </a:pPr>
            <a:endParaRPr lang="en-US"/>
          </a:p>
        </c:txPr>
        <c:crossAx val="212095744"/>
        <c:crosses val="autoZero"/>
        <c:lblAlgn val="ctr"/>
        <c:lblOffset val="0"/>
        <c:tickLblSkip val="4"/>
        <c:tickMarkSkip val="4"/>
      </c:catAx>
      <c:valAx>
        <c:axId val="212095744"/>
        <c:scaling>
          <c:orientation val="minMax"/>
        </c:scaling>
        <c:axPos val="l"/>
        <c:majorGridlines/>
        <c:numFmt formatCode="&quot;$&quot;#,##0" sourceLinked="0"/>
        <c:minorTickMark val="in"/>
        <c:tickLblPos val="nextTo"/>
        <c:txPr>
          <a:bodyPr/>
          <a:lstStyle/>
          <a:p>
            <a:pPr>
              <a:defRPr sz="900"/>
            </a:pPr>
            <a:endParaRPr lang="en-US"/>
          </a:p>
        </c:txPr>
        <c:crossAx val="212089472"/>
        <c:crosses val="autoZero"/>
        <c:crossBetween val="midCat"/>
      </c:valAx>
      <c:spPr>
        <a:ln>
          <a:solidFill>
            <a:sysClr val="windowText" lastClr="000000">
              <a:lumMod val="50000"/>
              <a:lumOff val="50000"/>
            </a:sysClr>
          </a:solidFill>
        </a:ln>
      </c:spPr>
    </c:plotArea>
    <c:legend>
      <c:legendPos val="r"/>
      <c:layout>
        <c:manualLayout>
          <c:xMode val="edge"/>
          <c:yMode val="edge"/>
          <c:x val="0.7893487211157425"/>
          <c:y val="0.34417906937934839"/>
          <c:w val="0.20607611548556434"/>
          <c:h val="0.2846316760837172"/>
        </c:manualLayout>
      </c:layout>
      <c:txPr>
        <a:bodyPr/>
        <a:lstStyle/>
        <a:p>
          <a:pPr>
            <a:defRPr sz="900"/>
          </a:pPr>
          <a:endParaRPr lang="en-US"/>
        </a:p>
      </c:txPr>
    </c:legend>
    <c:plotVisOnly val="1"/>
    <c:dispBlanksAs val="gap"/>
  </c:chart>
  <c:spPr>
    <a:solidFill>
      <a:srgbClr val="F7EAE9"/>
    </a:solidFill>
    <a:effectLst>
      <a:outerShdw blurRad="50800" dist="38100" dir="2700000" algn="tl" rotWithShape="0">
        <a:prstClr val="black">
          <a:alpha val="40000"/>
        </a:prstClr>
      </a:outerShdw>
    </a:effectLst>
    <a:scene3d>
      <a:camera prst="orthographicFront"/>
      <a:lightRig rig="morning" dir="t"/>
    </a:scene3d>
    <a:sp3d prstMaterial="matte"/>
  </c:spPr>
  <c:txPr>
    <a:bodyPr/>
    <a:lstStyle/>
    <a:p>
      <a:pPr>
        <a:defRPr b="0"/>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1"/>
  <c:clrMapOvr bg1="lt1" tx1="dk1" bg2="lt2" tx2="dk2" accent1="accent1" accent2="accent2" accent3="accent3" accent4="accent4" accent5="accent5" accent6="accent6" hlink="hlink" folHlink="folHlink"/>
  <c:chart>
    <c:title>
      <c:tx>
        <c:strRef>
          <c:f>'5A-Loss Trend'!$I$9</c:f>
          <c:strCache>
            <c:ptCount val="1"/>
            <c:pt idx="0">
              <c:v>Frequency</c:v>
            </c:pt>
          </c:strCache>
        </c:strRef>
      </c:tx>
    </c:title>
    <c:plotArea>
      <c:layout>
        <c:manualLayout>
          <c:layoutTarget val="inner"/>
          <c:xMode val="edge"/>
          <c:yMode val="edge"/>
          <c:x val="9.5678262792673524E-2"/>
          <c:y val="0.17279564860593979"/>
          <c:w val="0.7105948699973712"/>
          <c:h val="0.65565580344126784"/>
        </c:manualLayout>
      </c:layout>
      <c:lineChart>
        <c:grouping val="standard"/>
        <c:ser>
          <c:idx val="1"/>
          <c:order val="0"/>
          <c:tx>
            <c:strRef>
              <c:f>'5A-Loss Trend'!$H$8:$K$8</c:f>
              <c:strCache>
                <c:ptCount val="1"/>
                <c:pt idx="0">
                  <c:v>Quarterly</c:v>
                </c:pt>
              </c:strCache>
            </c:strRef>
          </c:tx>
          <c:spPr>
            <a:ln>
              <a:solidFill>
                <a:srgbClr val="9BBB59">
                  <a:lumMod val="75000"/>
                </a:srgbClr>
              </a:solidFill>
            </a:ln>
            <a:effectLst>
              <a:outerShdw blurRad="50800" dist="38100" dir="2700000" algn="tl" rotWithShape="0">
                <a:prstClr val="black">
                  <a:alpha val="40000"/>
                </a:prstClr>
              </a:outerShdw>
            </a:effectLst>
          </c:spPr>
          <c:marker>
            <c:symbol val="diamond"/>
            <c:size val="6"/>
            <c:spPr>
              <a:solidFill>
                <a:srgbClr val="9BBB59">
                  <a:lumMod val="50000"/>
                </a:srgbClr>
              </a:solidFill>
              <a:ln>
                <a:solidFill>
                  <a:srgbClr val="9BBB59">
                    <a:lumMod val="50000"/>
                  </a:srgbClr>
                </a:solidFill>
              </a:ln>
              <a:effectLst>
                <a:outerShdw blurRad="50800" dist="38100" dir="2700000" algn="tl" rotWithShape="0">
                  <a:prstClr val="black">
                    <a:alpha val="40000"/>
                  </a:prstClr>
                </a:outerShdw>
              </a:effectLst>
            </c:spPr>
          </c:marker>
          <c:cat>
            <c:strRef>
              <c:f>'5A-Loss Trend'!$H$10:$H$33</c:f>
              <c:strCache>
                <c:ptCount val="24"/>
                <c:pt idx="0">
                  <c:v>_Q 20__</c:v>
                </c:pt>
                <c:pt idx="1">
                  <c:v>_Q 20__</c:v>
                </c:pt>
                <c:pt idx="2">
                  <c:v>_Q 20__</c:v>
                </c:pt>
                <c:pt idx="3">
                  <c:v>_Q 20__</c:v>
                </c:pt>
                <c:pt idx="4">
                  <c:v>_Q 20__</c:v>
                </c:pt>
                <c:pt idx="5">
                  <c:v>_Q 20__</c:v>
                </c:pt>
                <c:pt idx="6">
                  <c:v>_Q 20__</c:v>
                </c:pt>
                <c:pt idx="7">
                  <c:v>_Q 20__</c:v>
                </c:pt>
                <c:pt idx="8">
                  <c:v>_Q 20__</c:v>
                </c:pt>
                <c:pt idx="9">
                  <c:v>_Q 20__</c:v>
                </c:pt>
                <c:pt idx="10">
                  <c:v>_Q 20__</c:v>
                </c:pt>
                <c:pt idx="11">
                  <c:v>_Q 20__</c:v>
                </c:pt>
                <c:pt idx="12">
                  <c:v>_Q 20__</c:v>
                </c:pt>
                <c:pt idx="13">
                  <c:v>_Q 20__</c:v>
                </c:pt>
                <c:pt idx="14">
                  <c:v>_Q 20__</c:v>
                </c:pt>
                <c:pt idx="15">
                  <c:v>_Q 20__</c:v>
                </c:pt>
                <c:pt idx="16">
                  <c:v>_Q 20__</c:v>
                </c:pt>
                <c:pt idx="17">
                  <c:v>_Q 20__</c:v>
                </c:pt>
                <c:pt idx="18">
                  <c:v>_Q 20__</c:v>
                </c:pt>
                <c:pt idx="19">
                  <c:v>_Q 20__</c:v>
                </c:pt>
                <c:pt idx="20">
                  <c:v>_Q 20__</c:v>
                </c:pt>
                <c:pt idx="21">
                  <c:v>_Q 20__</c:v>
                </c:pt>
                <c:pt idx="22">
                  <c:v>_Q 20__</c:v>
                </c:pt>
                <c:pt idx="23">
                  <c:v>_Q 20__</c:v>
                </c:pt>
              </c:strCache>
            </c:strRef>
          </c:cat>
          <c:val>
            <c:numRef>
              <c:f>'5A-Loss Trend'!$I$10:$I$33</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0"/>
          <c:order val="1"/>
          <c:tx>
            <c:strRef>
              <c:f>'5A-Loss Trend'!$M$8:$P$8</c:f>
              <c:strCache>
                <c:ptCount val="1"/>
                <c:pt idx="0">
                  <c:v>Four-Quarter-Ending</c:v>
                </c:pt>
              </c:strCache>
            </c:strRef>
          </c:tx>
          <c:spPr>
            <a:effectLst>
              <a:outerShdw blurRad="50800" dist="38100" dir="2700000" algn="tl" rotWithShape="0">
                <a:prstClr val="black">
                  <a:alpha val="40000"/>
                </a:prstClr>
              </a:outerShdw>
            </a:effectLst>
          </c:spPr>
          <c:marker>
            <c:symbol val="circle"/>
            <c:size val="4"/>
            <c:spPr>
              <a:solidFill>
                <a:srgbClr val="4BACC6">
                  <a:lumMod val="75000"/>
                </a:srgbClr>
              </a:solidFill>
              <a:effectLst>
                <a:outerShdw blurRad="50800" dist="38100" dir="2700000" algn="tl" rotWithShape="0">
                  <a:prstClr val="black">
                    <a:alpha val="40000"/>
                  </a:prstClr>
                </a:outerShdw>
              </a:effectLst>
            </c:spPr>
          </c:marker>
          <c:cat>
            <c:strRef>
              <c:f>'5A-Loss Trend'!$H$10:$H$33</c:f>
              <c:strCache>
                <c:ptCount val="24"/>
                <c:pt idx="0">
                  <c:v>_Q 20__</c:v>
                </c:pt>
                <c:pt idx="1">
                  <c:v>_Q 20__</c:v>
                </c:pt>
                <c:pt idx="2">
                  <c:v>_Q 20__</c:v>
                </c:pt>
                <c:pt idx="3">
                  <c:v>_Q 20__</c:v>
                </c:pt>
                <c:pt idx="4">
                  <c:v>_Q 20__</c:v>
                </c:pt>
                <c:pt idx="5">
                  <c:v>_Q 20__</c:v>
                </c:pt>
                <c:pt idx="6">
                  <c:v>_Q 20__</c:v>
                </c:pt>
                <c:pt idx="7">
                  <c:v>_Q 20__</c:v>
                </c:pt>
                <c:pt idx="8">
                  <c:v>_Q 20__</c:v>
                </c:pt>
                <c:pt idx="9">
                  <c:v>_Q 20__</c:v>
                </c:pt>
                <c:pt idx="10">
                  <c:v>_Q 20__</c:v>
                </c:pt>
                <c:pt idx="11">
                  <c:v>_Q 20__</c:v>
                </c:pt>
                <c:pt idx="12">
                  <c:v>_Q 20__</c:v>
                </c:pt>
                <c:pt idx="13">
                  <c:v>_Q 20__</c:v>
                </c:pt>
                <c:pt idx="14">
                  <c:v>_Q 20__</c:v>
                </c:pt>
                <c:pt idx="15">
                  <c:v>_Q 20__</c:v>
                </c:pt>
                <c:pt idx="16">
                  <c:v>_Q 20__</c:v>
                </c:pt>
                <c:pt idx="17">
                  <c:v>_Q 20__</c:v>
                </c:pt>
                <c:pt idx="18">
                  <c:v>_Q 20__</c:v>
                </c:pt>
                <c:pt idx="19">
                  <c:v>_Q 20__</c:v>
                </c:pt>
                <c:pt idx="20">
                  <c:v>_Q 20__</c:v>
                </c:pt>
                <c:pt idx="21">
                  <c:v>_Q 20__</c:v>
                </c:pt>
                <c:pt idx="22">
                  <c:v>_Q 20__</c:v>
                </c:pt>
                <c:pt idx="23">
                  <c:v>_Q 20__</c:v>
                </c:pt>
              </c:strCache>
            </c:strRef>
          </c:cat>
          <c:val>
            <c:numRef>
              <c:f>'5A-Loss Trend'!$N$10:$N$33</c:f>
              <c:numCache>
                <c:formatCode>0.0%</c:formatCode>
                <c:ptCount val="24"/>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1"/>
        </c:ser>
        <c:marker val="1"/>
        <c:axId val="212264832"/>
        <c:axId val="212418560"/>
      </c:lineChart>
      <c:catAx>
        <c:axId val="212264832"/>
        <c:scaling>
          <c:orientation val="minMax"/>
        </c:scaling>
        <c:axPos val="b"/>
        <c:numFmt formatCode="mm/yyyy" sourceLinked="1"/>
        <c:minorTickMark val="in"/>
        <c:tickLblPos val="nextTo"/>
        <c:txPr>
          <a:bodyPr rot="-2700000"/>
          <a:lstStyle/>
          <a:p>
            <a:pPr>
              <a:defRPr sz="900"/>
            </a:pPr>
            <a:endParaRPr lang="en-US"/>
          </a:p>
        </c:txPr>
        <c:crossAx val="212418560"/>
        <c:crosses val="autoZero"/>
        <c:lblAlgn val="ctr"/>
        <c:lblOffset val="0"/>
        <c:tickLblSkip val="2"/>
        <c:tickMarkSkip val="2"/>
      </c:catAx>
      <c:valAx>
        <c:axId val="212418560"/>
        <c:scaling>
          <c:orientation val="minMax"/>
        </c:scaling>
        <c:axPos val="l"/>
        <c:majorGridlines/>
        <c:numFmt formatCode="0.0%" sourceLinked="0"/>
        <c:minorTickMark val="in"/>
        <c:tickLblPos val="nextTo"/>
        <c:txPr>
          <a:bodyPr/>
          <a:lstStyle/>
          <a:p>
            <a:pPr>
              <a:defRPr sz="900"/>
            </a:pPr>
            <a:endParaRPr lang="en-US"/>
          </a:p>
        </c:txPr>
        <c:crossAx val="212264832"/>
        <c:crosses val="autoZero"/>
        <c:crossBetween val="midCat"/>
      </c:valAx>
      <c:spPr>
        <a:ln>
          <a:solidFill>
            <a:sysClr val="windowText" lastClr="000000">
              <a:lumMod val="50000"/>
              <a:lumOff val="50000"/>
            </a:sysClr>
          </a:solidFill>
        </a:ln>
      </c:spPr>
    </c:plotArea>
    <c:legend>
      <c:legendPos val="r"/>
      <c:layout>
        <c:manualLayout>
          <c:xMode val="edge"/>
          <c:yMode val="edge"/>
          <c:x val="0.7991526684164475"/>
          <c:y val="0.31967556138817843"/>
          <c:w val="0.20084728081486641"/>
          <c:h val="0.3078099249221864"/>
        </c:manualLayout>
      </c:layout>
      <c:txPr>
        <a:bodyPr/>
        <a:lstStyle/>
        <a:p>
          <a:pPr>
            <a:defRPr sz="900"/>
          </a:pPr>
          <a:endParaRPr lang="en-US"/>
        </a:p>
      </c:txPr>
    </c:legend>
    <c:plotVisOnly val="1"/>
    <c:dispBlanksAs val="gap"/>
  </c:chart>
  <c:spPr>
    <a:solidFill>
      <a:srgbClr val="C0504D">
        <a:lumMod val="20000"/>
        <a:lumOff val="80000"/>
      </a:srgbClr>
    </a:solidFill>
    <a:effectLst>
      <a:outerShdw blurRad="50800" dist="38100" dir="2700000" algn="tl" rotWithShape="0">
        <a:prstClr val="black">
          <a:alpha val="40000"/>
        </a:prstClr>
      </a:outerShdw>
    </a:effectLst>
    <a:scene3d>
      <a:camera prst="orthographicFront"/>
      <a:lightRig rig="morning" dir="t"/>
    </a:scene3d>
    <a:sp3d prstMaterial="matte"/>
  </c:spPr>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1"/>
  <c:clrMapOvr bg1="lt1" tx1="dk1" bg2="lt2" tx2="dk2" accent1="accent1" accent2="accent2" accent3="accent3" accent4="accent4" accent5="accent5" accent6="accent6" hlink="hlink" folHlink="folHlink"/>
  <c:chart>
    <c:title>
      <c:tx>
        <c:strRef>
          <c:f>'5A-Loss Trend'!$J$9</c:f>
          <c:strCache>
            <c:ptCount val="1"/>
            <c:pt idx="0">
              <c:v>Severity</c:v>
            </c:pt>
          </c:strCache>
        </c:strRef>
      </c:tx>
    </c:title>
    <c:plotArea>
      <c:layout>
        <c:manualLayout>
          <c:layoutTarget val="inner"/>
          <c:xMode val="edge"/>
          <c:yMode val="edge"/>
          <c:x val="9.5678258967629728E-2"/>
          <c:y val="0.19432888597258677"/>
          <c:w val="0.71321522309711294"/>
          <c:h val="0.63331433436772144"/>
        </c:manualLayout>
      </c:layout>
      <c:lineChart>
        <c:grouping val="standard"/>
        <c:ser>
          <c:idx val="1"/>
          <c:order val="0"/>
          <c:tx>
            <c:strRef>
              <c:f>'5A-Loss Trend'!$H$8:$K$8</c:f>
              <c:strCache>
                <c:ptCount val="1"/>
                <c:pt idx="0">
                  <c:v>Quarterly</c:v>
                </c:pt>
              </c:strCache>
            </c:strRef>
          </c:tx>
          <c:spPr>
            <a:ln>
              <a:solidFill>
                <a:srgbClr val="9BBB59">
                  <a:lumMod val="75000"/>
                </a:srgbClr>
              </a:solidFill>
            </a:ln>
            <a:effectLst>
              <a:outerShdw blurRad="50800" dist="38100" dir="2700000" algn="tl" rotWithShape="0">
                <a:prstClr val="black">
                  <a:alpha val="40000"/>
                </a:prstClr>
              </a:outerShdw>
            </a:effectLst>
          </c:spPr>
          <c:marker>
            <c:symbol val="diamond"/>
            <c:size val="6"/>
            <c:spPr>
              <a:solidFill>
                <a:srgbClr val="9BBB59">
                  <a:lumMod val="50000"/>
                </a:srgbClr>
              </a:solidFill>
              <a:ln>
                <a:solidFill>
                  <a:srgbClr val="9BBB59">
                    <a:lumMod val="50000"/>
                  </a:srgbClr>
                </a:solidFill>
              </a:ln>
              <a:effectLst>
                <a:outerShdw blurRad="50800" dist="38100" dir="2700000" algn="tl" rotWithShape="0">
                  <a:prstClr val="black">
                    <a:alpha val="40000"/>
                  </a:prstClr>
                </a:outerShdw>
              </a:effectLst>
            </c:spPr>
          </c:marker>
          <c:cat>
            <c:strRef>
              <c:f>'5A-Loss Trend'!$H$10:$H$33</c:f>
              <c:strCache>
                <c:ptCount val="24"/>
                <c:pt idx="0">
                  <c:v>_Q 20__</c:v>
                </c:pt>
                <c:pt idx="1">
                  <c:v>_Q 20__</c:v>
                </c:pt>
                <c:pt idx="2">
                  <c:v>_Q 20__</c:v>
                </c:pt>
                <c:pt idx="3">
                  <c:v>_Q 20__</c:v>
                </c:pt>
                <c:pt idx="4">
                  <c:v>_Q 20__</c:v>
                </c:pt>
                <c:pt idx="5">
                  <c:v>_Q 20__</c:v>
                </c:pt>
                <c:pt idx="6">
                  <c:v>_Q 20__</c:v>
                </c:pt>
                <c:pt idx="7">
                  <c:v>_Q 20__</c:v>
                </c:pt>
                <c:pt idx="8">
                  <c:v>_Q 20__</c:v>
                </c:pt>
                <c:pt idx="9">
                  <c:v>_Q 20__</c:v>
                </c:pt>
                <c:pt idx="10">
                  <c:v>_Q 20__</c:v>
                </c:pt>
                <c:pt idx="11">
                  <c:v>_Q 20__</c:v>
                </c:pt>
                <c:pt idx="12">
                  <c:v>_Q 20__</c:v>
                </c:pt>
                <c:pt idx="13">
                  <c:v>_Q 20__</c:v>
                </c:pt>
                <c:pt idx="14">
                  <c:v>_Q 20__</c:v>
                </c:pt>
                <c:pt idx="15">
                  <c:v>_Q 20__</c:v>
                </c:pt>
                <c:pt idx="16">
                  <c:v>_Q 20__</c:v>
                </c:pt>
                <c:pt idx="17">
                  <c:v>_Q 20__</c:v>
                </c:pt>
                <c:pt idx="18">
                  <c:v>_Q 20__</c:v>
                </c:pt>
                <c:pt idx="19">
                  <c:v>_Q 20__</c:v>
                </c:pt>
                <c:pt idx="20">
                  <c:v>_Q 20__</c:v>
                </c:pt>
                <c:pt idx="21">
                  <c:v>_Q 20__</c:v>
                </c:pt>
                <c:pt idx="22">
                  <c:v>_Q 20__</c:v>
                </c:pt>
                <c:pt idx="23">
                  <c:v>_Q 20__</c:v>
                </c:pt>
              </c:strCache>
            </c:strRef>
          </c:cat>
          <c:val>
            <c:numRef>
              <c:f>'5A-Loss Trend'!$J$10:$J$33</c:f>
              <c:numCache>
                <c:formatCode>"$"#,##0_);\("$"#,##0\)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1"/>
        </c:ser>
        <c:ser>
          <c:idx val="0"/>
          <c:order val="1"/>
          <c:tx>
            <c:strRef>
              <c:f>'5A-Loss Trend'!$M$8:$P$8</c:f>
              <c:strCache>
                <c:ptCount val="1"/>
                <c:pt idx="0">
                  <c:v>Four-Quarter-Ending</c:v>
                </c:pt>
              </c:strCache>
            </c:strRef>
          </c:tx>
          <c:spPr>
            <a:effectLst>
              <a:outerShdw blurRad="50800" dist="38100" dir="2700000" algn="tl" rotWithShape="0">
                <a:prstClr val="black">
                  <a:alpha val="40000"/>
                </a:prstClr>
              </a:outerShdw>
            </a:effectLst>
          </c:spPr>
          <c:marker>
            <c:symbol val="circle"/>
            <c:size val="4"/>
            <c:spPr>
              <a:effectLst>
                <a:outerShdw blurRad="50800" dist="38100" dir="2700000" algn="tl" rotWithShape="0">
                  <a:prstClr val="black">
                    <a:alpha val="40000"/>
                  </a:prstClr>
                </a:outerShdw>
              </a:effectLst>
            </c:spPr>
          </c:marker>
          <c:cat>
            <c:strRef>
              <c:f>'5A-Loss Trend'!$H$10:$H$33</c:f>
              <c:strCache>
                <c:ptCount val="24"/>
                <c:pt idx="0">
                  <c:v>_Q 20__</c:v>
                </c:pt>
                <c:pt idx="1">
                  <c:v>_Q 20__</c:v>
                </c:pt>
                <c:pt idx="2">
                  <c:v>_Q 20__</c:v>
                </c:pt>
                <c:pt idx="3">
                  <c:v>_Q 20__</c:v>
                </c:pt>
                <c:pt idx="4">
                  <c:v>_Q 20__</c:v>
                </c:pt>
                <c:pt idx="5">
                  <c:v>_Q 20__</c:v>
                </c:pt>
                <c:pt idx="6">
                  <c:v>_Q 20__</c:v>
                </c:pt>
                <c:pt idx="7">
                  <c:v>_Q 20__</c:v>
                </c:pt>
                <c:pt idx="8">
                  <c:v>_Q 20__</c:v>
                </c:pt>
                <c:pt idx="9">
                  <c:v>_Q 20__</c:v>
                </c:pt>
                <c:pt idx="10">
                  <c:v>_Q 20__</c:v>
                </c:pt>
                <c:pt idx="11">
                  <c:v>_Q 20__</c:v>
                </c:pt>
                <c:pt idx="12">
                  <c:v>_Q 20__</c:v>
                </c:pt>
                <c:pt idx="13">
                  <c:v>_Q 20__</c:v>
                </c:pt>
                <c:pt idx="14">
                  <c:v>_Q 20__</c:v>
                </c:pt>
                <c:pt idx="15">
                  <c:v>_Q 20__</c:v>
                </c:pt>
                <c:pt idx="16">
                  <c:v>_Q 20__</c:v>
                </c:pt>
                <c:pt idx="17">
                  <c:v>_Q 20__</c:v>
                </c:pt>
                <c:pt idx="18">
                  <c:v>_Q 20__</c:v>
                </c:pt>
                <c:pt idx="19">
                  <c:v>_Q 20__</c:v>
                </c:pt>
                <c:pt idx="20">
                  <c:v>_Q 20__</c:v>
                </c:pt>
                <c:pt idx="21">
                  <c:v>_Q 20__</c:v>
                </c:pt>
                <c:pt idx="22">
                  <c:v>_Q 20__</c:v>
                </c:pt>
                <c:pt idx="23">
                  <c:v>_Q 20__</c:v>
                </c:pt>
              </c:strCache>
            </c:strRef>
          </c:cat>
          <c:val>
            <c:numRef>
              <c:f>'5A-Loss Trend'!$O$10:$O$33</c:f>
              <c:numCache>
                <c:formatCode>"$"#,##0</c:formatCode>
                <c:ptCount val="24"/>
                <c:pt idx="3" formatCode="&quot;$&quot;#,##0_);\(&quot;$&quot;#,##0\)">
                  <c:v>0</c:v>
                </c:pt>
                <c:pt idx="4" formatCode="&quot;$&quot;#,##0_);\(&quot;$&quot;#,##0\)">
                  <c:v>0</c:v>
                </c:pt>
                <c:pt idx="5" formatCode="&quot;$&quot;#,##0_);\(&quot;$&quot;#,##0\)">
                  <c:v>0</c:v>
                </c:pt>
                <c:pt idx="6" formatCode="&quot;$&quot;#,##0_);\(&quot;$&quot;#,##0\)">
                  <c:v>0</c:v>
                </c:pt>
                <c:pt idx="7" formatCode="&quot;$&quot;#,##0_);\(&quot;$&quot;#,##0\)">
                  <c:v>0</c:v>
                </c:pt>
                <c:pt idx="8" formatCode="&quot;$&quot;#,##0_);\(&quot;$&quot;#,##0\)">
                  <c:v>0</c:v>
                </c:pt>
                <c:pt idx="9" formatCode="&quot;$&quot;#,##0_);\(&quot;$&quot;#,##0\)">
                  <c:v>0</c:v>
                </c:pt>
                <c:pt idx="10" formatCode="&quot;$&quot;#,##0_);\(&quot;$&quot;#,##0\)">
                  <c:v>0</c:v>
                </c:pt>
                <c:pt idx="11" formatCode="&quot;$&quot;#,##0_);\(&quot;$&quot;#,##0\)">
                  <c:v>0</c:v>
                </c:pt>
                <c:pt idx="12" formatCode="&quot;$&quot;#,##0_);\(&quot;$&quot;#,##0\)">
                  <c:v>0</c:v>
                </c:pt>
                <c:pt idx="13" formatCode="&quot;$&quot;#,##0_);\(&quot;$&quot;#,##0\)">
                  <c:v>0</c:v>
                </c:pt>
                <c:pt idx="14" formatCode="&quot;$&quot;#,##0_);\(&quot;$&quot;#,##0\)">
                  <c:v>0</c:v>
                </c:pt>
                <c:pt idx="15" formatCode="&quot;$&quot;#,##0_);\(&quot;$&quot;#,##0\)">
                  <c:v>0</c:v>
                </c:pt>
                <c:pt idx="16" formatCode="&quot;$&quot;#,##0_);\(&quot;$&quot;#,##0\)">
                  <c:v>0</c:v>
                </c:pt>
                <c:pt idx="17" formatCode="&quot;$&quot;#,##0_);\(&quot;$&quot;#,##0\)">
                  <c:v>0</c:v>
                </c:pt>
                <c:pt idx="18" formatCode="&quot;$&quot;#,##0_);\(&quot;$&quot;#,##0\)">
                  <c:v>0</c:v>
                </c:pt>
                <c:pt idx="19" formatCode="&quot;$&quot;#,##0_);\(&quot;$&quot;#,##0\)">
                  <c:v>0</c:v>
                </c:pt>
                <c:pt idx="20" formatCode="&quot;$&quot;#,##0_);\(&quot;$&quot;#,##0\)">
                  <c:v>0</c:v>
                </c:pt>
                <c:pt idx="21" formatCode="&quot;$&quot;#,##0_);\(&quot;$&quot;#,##0\)">
                  <c:v>0</c:v>
                </c:pt>
                <c:pt idx="22" formatCode="&quot;$&quot;#,##0_);\(&quot;$&quot;#,##0\)">
                  <c:v>0</c:v>
                </c:pt>
                <c:pt idx="23" formatCode="&quot;$&quot;#,##0_);\(&quot;$&quot;#,##0\)">
                  <c:v>0</c:v>
                </c:pt>
              </c:numCache>
            </c:numRef>
          </c:val>
          <c:smooth val="1"/>
        </c:ser>
        <c:marker val="1"/>
        <c:axId val="212459520"/>
        <c:axId val="212461440"/>
      </c:lineChart>
      <c:catAx>
        <c:axId val="212459520"/>
        <c:scaling>
          <c:orientation val="minMax"/>
        </c:scaling>
        <c:axPos val="b"/>
        <c:numFmt formatCode="General" sourceLinked="0"/>
        <c:minorTickMark val="in"/>
        <c:tickLblPos val="nextTo"/>
        <c:txPr>
          <a:bodyPr rot="-2700000"/>
          <a:lstStyle/>
          <a:p>
            <a:pPr>
              <a:defRPr sz="900"/>
            </a:pPr>
            <a:endParaRPr lang="en-US"/>
          </a:p>
        </c:txPr>
        <c:crossAx val="212461440"/>
        <c:crosses val="autoZero"/>
        <c:lblAlgn val="ctr"/>
        <c:lblOffset val="0"/>
        <c:tickLblSkip val="2"/>
        <c:tickMarkSkip val="2"/>
      </c:catAx>
      <c:valAx>
        <c:axId val="212461440"/>
        <c:scaling>
          <c:orientation val="minMax"/>
        </c:scaling>
        <c:axPos val="l"/>
        <c:majorGridlines/>
        <c:numFmt formatCode="&quot;$&quot;#,##0" sourceLinked="0"/>
        <c:minorTickMark val="in"/>
        <c:tickLblPos val="nextTo"/>
        <c:txPr>
          <a:bodyPr/>
          <a:lstStyle/>
          <a:p>
            <a:pPr>
              <a:defRPr sz="900"/>
            </a:pPr>
            <a:endParaRPr lang="en-US"/>
          </a:p>
        </c:txPr>
        <c:crossAx val="212459520"/>
        <c:crossesAt val="1"/>
        <c:crossBetween val="midCat"/>
      </c:valAx>
      <c:spPr>
        <a:ln>
          <a:solidFill>
            <a:sysClr val="windowText" lastClr="000000">
              <a:lumMod val="50000"/>
              <a:lumOff val="50000"/>
            </a:sysClr>
          </a:solidFill>
        </a:ln>
      </c:spPr>
    </c:plotArea>
    <c:legend>
      <c:legendPos val="r"/>
      <c:layout>
        <c:manualLayout>
          <c:xMode val="edge"/>
          <c:yMode val="edge"/>
          <c:x val="0.7991526684164475"/>
          <c:y val="0.31967556138817865"/>
          <c:w val="0.20084739407574634"/>
          <c:h val="0.26569771942046116"/>
        </c:manualLayout>
      </c:layout>
      <c:txPr>
        <a:bodyPr/>
        <a:lstStyle/>
        <a:p>
          <a:pPr>
            <a:defRPr sz="900"/>
          </a:pPr>
          <a:endParaRPr lang="en-US"/>
        </a:p>
      </c:txPr>
    </c:legend>
    <c:plotVisOnly val="1"/>
  </c:chart>
  <c:spPr>
    <a:solidFill>
      <a:srgbClr val="C0504D">
        <a:lumMod val="20000"/>
        <a:lumOff val="80000"/>
      </a:srgbClr>
    </a:solidFill>
    <a:effectLst>
      <a:outerShdw blurRad="50800" dist="38100" dir="2700000" algn="tl" rotWithShape="0">
        <a:prstClr val="black">
          <a:alpha val="40000"/>
        </a:prstClr>
      </a:outerShdw>
    </a:effectLst>
    <a:scene3d>
      <a:camera prst="orthographicFront"/>
      <a:lightRig rig="morning" dir="t"/>
    </a:scene3d>
    <a:sp3d prstMaterial="matte"/>
  </c:sp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1"/>
  <c:clrMapOvr bg1="lt1" tx1="dk1" bg2="lt2" tx2="dk2" accent1="accent1" accent2="accent2" accent3="accent3" accent4="accent4" accent5="accent5" accent6="accent6" hlink="hlink" folHlink="folHlink"/>
  <c:chart>
    <c:title>
      <c:tx>
        <c:strRef>
          <c:f>'5A-Loss Trend'!$K$9</c:f>
          <c:strCache>
            <c:ptCount val="1"/>
            <c:pt idx="0">
              <c:v>Pure Premium</c:v>
            </c:pt>
          </c:strCache>
        </c:strRef>
      </c:tx>
    </c:title>
    <c:plotArea>
      <c:layout>
        <c:manualLayout>
          <c:layoutTarget val="inner"/>
          <c:xMode val="edge"/>
          <c:yMode val="edge"/>
          <c:x val="9.5678220206651426E-2"/>
          <c:y val="0.17740850287115498"/>
          <c:w val="0.71051945247351889"/>
          <c:h val="0.65565580344126806"/>
        </c:manualLayout>
      </c:layout>
      <c:lineChart>
        <c:grouping val="standard"/>
        <c:ser>
          <c:idx val="1"/>
          <c:order val="0"/>
          <c:tx>
            <c:strRef>
              <c:f>'5A-Loss Trend'!$H$8:$K$8</c:f>
              <c:strCache>
                <c:ptCount val="1"/>
                <c:pt idx="0">
                  <c:v>Quarterly</c:v>
                </c:pt>
              </c:strCache>
            </c:strRef>
          </c:tx>
          <c:spPr>
            <a:ln>
              <a:solidFill>
                <a:srgbClr val="9BBB59">
                  <a:lumMod val="75000"/>
                </a:srgbClr>
              </a:solidFill>
            </a:ln>
            <a:effectLst>
              <a:outerShdw blurRad="50800" dist="38100" dir="2700000" algn="tl" rotWithShape="0">
                <a:prstClr val="black">
                  <a:alpha val="40000"/>
                </a:prstClr>
              </a:outerShdw>
            </a:effectLst>
          </c:spPr>
          <c:marker>
            <c:symbol val="diamond"/>
            <c:size val="6"/>
            <c:spPr>
              <a:solidFill>
                <a:srgbClr val="9BBB59">
                  <a:lumMod val="50000"/>
                </a:srgbClr>
              </a:solidFill>
              <a:ln>
                <a:solidFill>
                  <a:srgbClr val="9BBB59">
                    <a:lumMod val="50000"/>
                  </a:srgbClr>
                </a:solidFill>
              </a:ln>
              <a:effectLst>
                <a:outerShdw blurRad="50800" dist="38100" dir="2700000" algn="tl" rotWithShape="0">
                  <a:prstClr val="black">
                    <a:alpha val="40000"/>
                  </a:prstClr>
                </a:outerShdw>
              </a:effectLst>
            </c:spPr>
          </c:marker>
          <c:cat>
            <c:strRef>
              <c:f>'5A-Loss Trend'!$H$10:$H$33</c:f>
              <c:strCache>
                <c:ptCount val="24"/>
                <c:pt idx="0">
                  <c:v>_Q 20__</c:v>
                </c:pt>
                <c:pt idx="1">
                  <c:v>_Q 20__</c:v>
                </c:pt>
                <c:pt idx="2">
                  <c:v>_Q 20__</c:v>
                </c:pt>
                <c:pt idx="3">
                  <c:v>_Q 20__</c:v>
                </c:pt>
                <c:pt idx="4">
                  <c:v>_Q 20__</c:v>
                </c:pt>
                <c:pt idx="5">
                  <c:v>_Q 20__</c:v>
                </c:pt>
                <c:pt idx="6">
                  <c:v>_Q 20__</c:v>
                </c:pt>
                <c:pt idx="7">
                  <c:v>_Q 20__</c:v>
                </c:pt>
                <c:pt idx="8">
                  <c:v>_Q 20__</c:v>
                </c:pt>
                <c:pt idx="9">
                  <c:v>_Q 20__</c:v>
                </c:pt>
                <c:pt idx="10">
                  <c:v>_Q 20__</c:v>
                </c:pt>
                <c:pt idx="11">
                  <c:v>_Q 20__</c:v>
                </c:pt>
                <c:pt idx="12">
                  <c:v>_Q 20__</c:v>
                </c:pt>
                <c:pt idx="13">
                  <c:v>_Q 20__</c:v>
                </c:pt>
                <c:pt idx="14">
                  <c:v>_Q 20__</c:v>
                </c:pt>
                <c:pt idx="15">
                  <c:v>_Q 20__</c:v>
                </c:pt>
                <c:pt idx="16">
                  <c:v>_Q 20__</c:v>
                </c:pt>
                <c:pt idx="17">
                  <c:v>_Q 20__</c:v>
                </c:pt>
                <c:pt idx="18">
                  <c:v>_Q 20__</c:v>
                </c:pt>
                <c:pt idx="19">
                  <c:v>_Q 20__</c:v>
                </c:pt>
                <c:pt idx="20">
                  <c:v>_Q 20__</c:v>
                </c:pt>
                <c:pt idx="21">
                  <c:v>_Q 20__</c:v>
                </c:pt>
                <c:pt idx="22">
                  <c:v>_Q 20__</c:v>
                </c:pt>
                <c:pt idx="23">
                  <c:v>_Q 20__</c:v>
                </c:pt>
              </c:strCache>
            </c:strRef>
          </c:cat>
          <c:val>
            <c:numRef>
              <c:f>'5A-Loss Trend'!$K$10:$K$33</c:f>
              <c:numCache>
                <c:formatCode>"$"#,##0.00_);\("$"#,##0.00\)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1"/>
        </c:ser>
        <c:ser>
          <c:idx val="0"/>
          <c:order val="1"/>
          <c:tx>
            <c:strRef>
              <c:f>'5A-Loss Trend'!$M$8:$P$8</c:f>
              <c:strCache>
                <c:ptCount val="1"/>
                <c:pt idx="0">
                  <c:v>Four-Quarter-Ending</c:v>
                </c:pt>
              </c:strCache>
            </c:strRef>
          </c:tx>
          <c:spPr>
            <a:effectLst>
              <a:outerShdw blurRad="50800" dist="38100" dir="2700000" algn="tl" rotWithShape="0">
                <a:prstClr val="black">
                  <a:alpha val="40000"/>
                </a:prstClr>
              </a:outerShdw>
            </a:effectLst>
          </c:spPr>
          <c:marker>
            <c:symbol val="circle"/>
            <c:size val="4"/>
            <c:spPr>
              <a:effectLst>
                <a:outerShdw blurRad="50800" dist="38100" dir="2700000" algn="tl" rotWithShape="0">
                  <a:prstClr val="black">
                    <a:alpha val="40000"/>
                  </a:prstClr>
                </a:outerShdw>
              </a:effectLst>
            </c:spPr>
          </c:marker>
          <c:cat>
            <c:strRef>
              <c:f>'5A-Loss Trend'!$H$10:$H$33</c:f>
              <c:strCache>
                <c:ptCount val="24"/>
                <c:pt idx="0">
                  <c:v>_Q 20__</c:v>
                </c:pt>
                <c:pt idx="1">
                  <c:v>_Q 20__</c:v>
                </c:pt>
                <c:pt idx="2">
                  <c:v>_Q 20__</c:v>
                </c:pt>
                <c:pt idx="3">
                  <c:v>_Q 20__</c:v>
                </c:pt>
                <c:pt idx="4">
                  <c:v>_Q 20__</c:v>
                </c:pt>
                <c:pt idx="5">
                  <c:v>_Q 20__</c:v>
                </c:pt>
                <c:pt idx="6">
                  <c:v>_Q 20__</c:v>
                </c:pt>
                <c:pt idx="7">
                  <c:v>_Q 20__</c:v>
                </c:pt>
                <c:pt idx="8">
                  <c:v>_Q 20__</c:v>
                </c:pt>
                <c:pt idx="9">
                  <c:v>_Q 20__</c:v>
                </c:pt>
                <c:pt idx="10">
                  <c:v>_Q 20__</c:v>
                </c:pt>
                <c:pt idx="11">
                  <c:v>_Q 20__</c:v>
                </c:pt>
                <c:pt idx="12">
                  <c:v>_Q 20__</c:v>
                </c:pt>
                <c:pt idx="13">
                  <c:v>_Q 20__</c:v>
                </c:pt>
                <c:pt idx="14">
                  <c:v>_Q 20__</c:v>
                </c:pt>
                <c:pt idx="15">
                  <c:v>_Q 20__</c:v>
                </c:pt>
                <c:pt idx="16">
                  <c:v>_Q 20__</c:v>
                </c:pt>
                <c:pt idx="17">
                  <c:v>_Q 20__</c:v>
                </c:pt>
                <c:pt idx="18">
                  <c:v>_Q 20__</c:v>
                </c:pt>
                <c:pt idx="19">
                  <c:v>_Q 20__</c:v>
                </c:pt>
                <c:pt idx="20">
                  <c:v>_Q 20__</c:v>
                </c:pt>
                <c:pt idx="21">
                  <c:v>_Q 20__</c:v>
                </c:pt>
                <c:pt idx="22">
                  <c:v>_Q 20__</c:v>
                </c:pt>
                <c:pt idx="23">
                  <c:v>_Q 20__</c:v>
                </c:pt>
              </c:strCache>
            </c:strRef>
          </c:cat>
          <c:val>
            <c:numRef>
              <c:f>'5A-Loss Trend'!$P$10:$P$33</c:f>
              <c:numCache>
                <c:formatCode>"$"#,##0.00</c:formatCode>
                <c:ptCount val="24"/>
                <c:pt idx="3" formatCode="&quot;$&quot;#,##0.00_);\(&quot;$&quot;#,##0.00\)">
                  <c:v>0</c:v>
                </c:pt>
                <c:pt idx="4" formatCode="&quot;$&quot;#,##0.00_);\(&quot;$&quot;#,##0.00\)">
                  <c:v>0</c:v>
                </c:pt>
                <c:pt idx="5" formatCode="&quot;$&quot;#,##0.00_);\(&quot;$&quot;#,##0.00\)">
                  <c:v>0</c:v>
                </c:pt>
                <c:pt idx="6" formatCode="&quot;$&quot;#,##0.00_);\(&quot;$&quot;#,##0.00\)">
                  <c:v>0</c:v>
                </c:pt>
                <c:pt idx="7" formatCode="&quot;$&quot;#,##0.00_);\(&quot;$&quot;#,##0.00\)">
                  <c:v>0</c:v>
                </c:pt>
                <c:pt idx="8" formatCode="&quot;$&quot;#,##0.00_);\(&quot;$&quot;#,##0.00\)">
                  <c:v>0</c:v>
                </c:pt>
                <c:pt idx="9" formatCode="&quot;$&quot;#,##0.00_);\(&quot;$&quot;#,##0.00\)">
                  <c:v>0</c:v>
                </c:pt>
                <c:pt idx="10" formatCode="&quot;$&quot;#,##0.00_);\(&quot;$&quot;#,##0.00\)">
                  <c:v>0</c:v>
                </c:pt>
                <c:pt idx="11" formatCode="&quot;$&quot;#,##0.00_);\(&quot;$&quot;#,##0.00\)">
                  <c:v>0</c:v>
                </c:pt>
                <c:pt idx="12" formatCode="&quot;$&quot;#,##0.00_);\(&quot;$&quot;#,##0.00\)">
                  <c:v>0</c:v>
                </c:pt>
                <c:pt idx="13" formatCode="&quot;$&quot;#,##0.00_);\(&quot;$&quot;#,##0.00\)">
                  <c:v>0</c:v>
                </c:pt>
                <c:pt idx="14" formatCode="&quot;$&quot;#,##0.00_);\(&quot;$&quot;#,##0.00\)">
                  <c:v>0</c:v>
                </c:pt>
                <c:pt idx="15" formatCode="&quot;$&quot;#,##0.00_);\(&quot;$&quot;#,##0.00\)">
                  <c:v>0</c:v>
                </c:pt>
                <c:pt idx="16" formatCode="&quot;$&quot;#,##0.00_);\(&quot;$&quot;#,##0.00\)">
                  <c:v>0</c:v>
                </c:pt>
                <c:pt idx="17" formatCode="&quot;$&quot;#,##0.00_);\(&quot;$&quot;#,##0.00\)">
                  <c:v>0</c:v>
                </c:pt>
                <c:pt idx="18" formatCode="&quot;$&quot;#,##0.00_);\(&quot;$&quot;#,##0.00\)">
                  <c:v>0</c:v>
                </c:pt>
                <c:pt idx="19" formatCode="&quot;$&quot;#,##0.00_);\(&quot;$&quot;#,##0.00\)">
                  <c:v>0</c:v>
                </c:pt>
                <c:pt idx="20" formatCode="&quot;$&quot;#,##0.00_);\(&quot;$&quot;#,##0.00\)">
                  <c:v>0</c:v>
                </c:pt>
                <c:pt idx="21" formatCode="&quot;$&quot;#,##0.00_);\(&quot;$&quot;#,##0.00\)">
                  <c:v>0</c:v>
                </c:pt>
                <c:pt idx="22" formatCode="&quot;$&quot;#,##0.00_);\(&quot;$&quot;#,##0.00\)">
                  <c:v>0</c:v>
                </c:pt>
                <c:pt idx="23" formatCode="&quot;$&quot;#,##0.00_);\(&quot;$&quot;#,##0.00\)">
                  <c:v>0</c:v>
                </c:pt>
              </c:numCache>
            </c:numRef>
          </c:val>
          <c:smooth val="1"/>
        </c:ser>
        <c:marker val="1"/>
        <c:axId val="212535168"/>
        <c:axId val="212561920"/>
      </c:lineChart>
      <c:catAx>
        <c:axId val="212535168"/>
        <c:scaling>
          <c:orientation val="minMax"/>
        </c:scaling>
        <c:axPos val="b"/>
        <c:numFmt formatCode="mm/yyyy" sourceLinked="1"/>
        <c:minorTickMark val="in"/>
        <c:tickLblPos val="nextTo"/>
        <c:txPr>
          <a:bodyPr rot="-2700000"/>
          <a:lstStyle/>
          <a:p>
            <a:pPr>
              <a:defRPr sz="900"/>
            </a:pPr>
            <a:endParaRPr lang="en-US"/>
          </a:p>
        </c:txPr>
        <c:crossAx val="212561920"/>
        <c:crosses val="autoZero"/>
        <c:lblAlgn val="ctr"/>
        <c:lblOffset val="0"/>
        <c:tickLblSkip val="2"/>
        <c:tickMarkSkip val="2"/>
      </c:catAx>
      <c:valAx>
        <c:axId val="212561920"/>
        <c:scaling>
          <c:orientation val="minMax"/>
        </c:scaling>
        <c:axPos val="l"/>
        <c:majorGridlines/>
        <c:numFmt formatCode="&quot;$&quot;#,##0" sourceLinked="0"/>
        <c:minorTickMark val="in"/>
        <c:tickLblPos val="nextTo"/>
        <c:txPr>
          <a:bodyPr/>
          <a:lstStyle/>
          <a:p>
            <a:pPr>
              <a:defRPr sz="900"/>
            </a:pPr>
            <a:endParaRPr lang="en-US"/>
          </a:p>
        </c:txPr>
        <c:crossAx val="212535168"/>
        <c:crosses val="autoZero"/>
        <c:crossBetween val="midCat"/>
      </c:valAx>
      <c:spPr>
        <a:ln>
          <a:solidFill>
            <a:sysClr val="windowText" lastClr="000000">
              <a:lumMod val="50000"/>
              <a:lumOff val="50000"/>
            </a:sysClr>
          </a:solidFill>
        </a:ln>
      </c:spPr>
    </c:plotArea>
    <c:legend>
      <c:legendPos val="r"/>
      <c:layout>
        <c:manualLayout>
          <c:xMode val="edge"/>
          <c:yMode val="edge"/>
          <c:x val="0.7991526684164475"/>
          <c:y val="0.31967556138817865"/>
          <c:w val="0.20084741187415417"/>
          <c:h val="0.2811400002664643"/>
        </c:manualLayout>
      </c:layout>
      <c:txPr>
        <a:bodyPr/>
        <a:lstStyle/>
        <a:p>
          <a:pPr>
            <a:defRPr sz="900"/>
          </a:pPr>
          <a:endParaRPr lang="en-US"/>
        </a:p>
      </c:txPr>
    </c:legend>
    <c:plotVisOnly val="1"/>
  </c:chart>
  <c:spPr>
    <a:solidFill>
      <a:srgbClr val="C0504D">
        <a:lumMod val="20000"/>
        <a:lumOff val="80000"/>
      </a:srgbClr>
    </a:solidFill>
    <a:effectLst>
      <a:outerShdw blurRad="50800" dist="38100" dir="2700000" algn="tl" rotWithShape="0">
        <a:prstClr val="black">
          <a:alpha val="40000"/>
        </a:prstClr>
      </a:outerShdw>
    </a:effectLst>
    <a:scene3d>
      <a:camera prst="orthographicFront"/>
      <a:lightRig rig="morning" dir="t"/>
    </a:scene3d>
    <a:sp3d prstMaterial="matte"/>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1"/>
  <c:clrMapOvr bg1="lt1" tx1="dk1" bg2="lt2" tx2="dk2" accent1="accent1" accent2="accent2" accent3="accent3" accent4="accent4" accent5="accent5" accent6="accent6" hlink="hlink" folHlink="folHlink"/>
  <c:chart>
    <c:title>
      <c:tx>
        <c:rich>
          <a:bodyPr/>
          <a:lstStyle/>
          <a:p>
            <a:pPr>
              <a:defRPr/>
            </a:pPr>
            <a:r>
              <a:rPr lang="en-US"/>
              <a:t>Loss</a:t>
            </a:r>
            <a:r>
              <a:rPr lang="en-US" baseline="0"/>
              <a:t> Ratio</a:t>
            </a:r>
            <a:r>
              <a:rPr lang="en-US"/>
              <a:t> Trend</a:t>
            </a:r>
          </a:p>
        </c:rich>
      </c:tx>
    </c:title>
    <c:plotArea>
      <c:layout>
        <c:manualLayout>
          <c:layoutTarget val="inner"/>
          <c:xMode val="edge"/>
          <c:yMode val="edge"/>
          <c:x val="0.13178943291429812"/>
          <c:y val="0.14360435923770398"/>
          <c:w val="0.6779921053824316"/>
          <c:h val="0.64761477183773086"/>
        </c:manualLayout>
      </c:layout>
      <c:scatterChart>
        <c:scatterStyle val="smoothMarker"/>
        <c:ser>
          <c:idx val="0"/>
          <c:order val="0"/>
          <c:tx>
            <c:strRef>
              <c:f>'6-Loss Ratio Trend'!$E$9</c:f>
              <c:strCache>
                <c:ptCount val="1"/>
                <c:pt idx="0">
                  <c:v>Projected
Non-Cat
Loss &amp; DCCE Ratio</c:v>
                </c:pt>
              </c:strCache>
            </c:strRef>
          </c:tx>
          <c:spPr>
            <a:ln>
              <a:solidFill>
                <a:srgbClr val="4BACC6">
                  <a:lumMod val="75000"/>
                </a:srgbClr>
              </a:solidFill>
            </a:ln>
            <a:effectLst>
              <a:outerShdw blurRad="50800" dist="38100" dir="2700000" algn="tl" rotWithShape="0">
                <a:prstClr val="black">
                  <a:alpha val="40000"/>
                </a:prstClr>
              </a:outerShdw>
            </a:effectLst>
          </c:spPr>
          <c:marker>
            <c:symbol val="circle"/>
            <c:size val="4"/>
            <c:spPr>
              <a:solidFill>
                <a:srgbClr val="297083"/>
              </a:solidFill>
              <a:ln>
                <a:solidFill>
                  <a:srgbClr val="297083"/>
                </a:solidFill>
              </a:ln>
              <a:effectLst>
                <a:outerShdw blurRad="50800" dist="38100" dir="2700000" algn="tl" rotWithShape="0">
                  <a:prstClr val="black">
                    <a:alpha val="40000"/>
                  </a:prstClr>
                </a:outerShdw>
              </a:effectLst>
            </c:spPr>
          </c:marker>
          <c:dLbls>
            <c:numFmt formatCode="0%" sourceLinked="0"/>
            <c:txPr>
              <a:bodyPr/>
              <a:lstStyle/>
              <a:p>
                <a:pPr>
                  <a:defRPr sz="800"/>
                </a:pPr>
                <a:endParaRPr lang="en-US"/>
              </a:p>
            </c:txPr>
            <c:dLblPos val="t"/>
            <c:showVal val="1"/>
          </c:dLbls>
          <c:xVal>
            <c:strRef>
              <c:f>'6-Loss Ratio Trend'!$C$10:$C$14</c:f>
              <c:strCache>
                <c:ptCount val="5"/>
                <c:pt idx="0">
                  <c:v>__ /__ /20__</c:v>
                </c:pt>
                <c:pt idx="1">
                  <c:v>__ /__ /20__</c:v>
                </c:pt>
                <c:pt idx="2">
                  <c:v>__ /__ /20__</c:v>
                </c:pt>
                <c:pt idx="3">
                  <c:v>__ /__ /20__</c:v>
                </c:pt>
                <c:pt idx="4">
                  <c:v>__ /__ /20__</c:v>
                </c:pt>
              </c:strCache>
            </c:strRef>
          </c:xVal>
          <c:yVal>
            <c:numRef>
              <c:f>'6-Loss Ratio Trend'!$E$10:$E$14</c:f>
              <c:numCache>
                <c:formatCode>0.0%</c:formatCode>
                <c:ptCount val="5"/>
                <c:pt idx="0">
                  <c:v>0</c:v>
                </c:pt>
                <c:pt idx="1">
                  <c:v>0</c:v>
                </c:pt>
                <c:pt idx="2">
                  <c:v>0</c:v>
                </c:pt>
                <c:pt idx="3">
                  <c:v>0</c:v>
                </c:pt>
                <c:pt idx="4">
                  <c:v>0</c:v>
                </c:pt>
              </c:numCache>
            </c:numRef>
          </c:yVal>
          <c:smooth val="1"/>
        </c:ser>
        <c:ser>
          <c:idx val="1"/>
          <c:order val="1"/>
          <c:tx>
            <c:strRef>
              <c:f>'6-Loss Ratio Trend'!$D$9</c:f>
              <c:strCache>
                <c:ptCount val="1"/>
                <c:pt idx="0">
                  <c:v>Untrended
Non-Cat
Loss &amp; DCCE Ratio</c:v>
                </c:pt>
              </c:strCache>
            </c:strRef>
          </c:tx>
          <c:spPr>
            <a:ln>
              <a:solidFill>
                <a:srgbClr val="9BBB59">
                  <a:lumMod val="75000"/>
                </a:srgbClr>
              </a:solidFill>
            </a:ln>
            <a:effectLst>
              <a:outerShdw blurRad="50800" dist="38100" dir="2700000" algn="tl" rotWithShape="0">
                <a:prstClr val="black">
                  <a:alpha val="40000"/>
                </a:prstClr>
              </a:outerShdw>
            </a:effectLst>
          </c:spPr>
          <c:marker>
            <c:symbol val="diamond"/>
            <c:size val="6"/>
            <c:spPr>
              <a:solidFill>
                <a:srgbClr val="9BBB59">
                  <a:lumMod val="50000"/>
                </a:srgbClr>
              </a:solidFill>
              <a:ln>
                <a:solidFill>
                  <a:srgbClr val="9BBB59">
                    <a:lumMod val="50000"/>
                  </a:srgbClr>
                </a:solidFill>
              </a:ln>
              <a:effectLst>
                <a:outerShdw blurRad="50800" dist="38100" dir="2700000" algn="tl" rotWithShape="0">
                  <a:prstClr val="black">
                    <a:alpha val="40000"/>
                  </a:prstClr>
                </a:outerShdw>
              </a:effectLst>
            </c:spPr>
          </c:marker>
          <c:dLbls>
            <c:numFmt formatCode="0%" sourceLinked="0"/>
            <c:txPr>
              <a:bodyPr/>
              <a:lstStyle/>
              <a:p>
                <a:pPr>
                  <a:defRPr sz="800"/>
                </a:pPr>
                <a:endParaRPr lang="en-US"/>
              </a:p>
            </c:txPr>
            <c:dLblPos val="b"/>
            <c:showVal val="1"/>
          </c:dLbls>
          <c:xVal>
            <c:strRef>
              <c:f>'6-Loss Ratio Trend'!$C$10:$C$14</c:f>
              <c:strCache>
                <c:ptCount val="5"/>
                <c:pt idx="0">
                  <c:v>__ /__ /20__</c:v>
                </c:pt>
                <c:pt idx="1">
                  <c:v>__ /__ /20__</c:v>
                </c:pt>
                <c:pt idx="2">
                  <c:v>__ /__ /20__</c:v>
                </c:pt>
                <c:pt idx="3">
                  <c:v>__ /__ /20__</c:v>
                </c:pt>
                <c:pt idx="4">
                  <c:v>__ /__ /20__</c:v>
                </c:pt>
              </c:strCache>
            </c:strRef>
          </c:xVal>
          <c:yVal>
            <c:numRef>
              <c:f>'6-Loss Ratio Trend'!$D$10:$D$14</c:f>
              <c:numCache>
                <c:formatCode>0.0%</c:formatCode>
                <c:ptCount val="5"/>
                <c:pt idx="0">
                  <c:v>0</c:v>
                </c:pt>
                <c:pt idx="1">
                  <c:v>0</c:v>
                </c:pt>
                <c:pt idx="2">
                  <c:v>0</c:v>
                </c:pt>
                <c:pt idx="3">
                  <c:v>0</c:v>
                </c:pt>
                <c:pt idx="4">
                  <c:v>0</c:v>
                </c:pt>
              </c:numCache>
            </c:numRef>
          </c:yVal>
          <c:smooth val="1"/>
        </c:ser>
        <c:ser>
          <c:idx val="2"/>
          <c:order val="2"/>
          <c:tx>
            <c:strRef>
              <c:f>'6-Loss Ratio Trend'!$E$45</c:f>
              <c:strCache>
                <c:ptCount val="1"/>
                <c:pt idx="0">
                  <c:v>Pure Premium/
Avg Earned Premium</c:v>
                </c:pt>
              </c:strCache>
            </c:strRef>
          </c:tx>
          <c:spPr>
            <a:ln>
              <a:solidFill>
                <a:srgbClr val="C0504D">
                  <a:lumMod val="75000"/>
                </a:srgbClr>
              </a:solidFill>
            </a:ln>
            <a:effectLst>
              <a:outerShdw blurRad="50800" dist="38100" dir="2700000" algn="tl" rotWithShape="0">
                <a:prstClr val="black">
                  <a:alpha val="40000"/>
                </a:prstClr>
              </a:outerShdw>
            </a:effectLst>
          </c:spPr>
          <c:marker>
            <c:symbol val="triangle"/>
            <c:size val="5"/>
            <c:spPr>
              <a:solidFill>
                <a:srgbClr val="C0504D">
                  <a:lumMod val="75000"/>
                </a:srgbClr>
              </a:solidFill>
              <a:ln>
                <a:solidFill>
                  <a:srgbClr val="C0504D">
                    <a:lumMod val="50000"/>
                  </a:srgbClr>
                </a:solidFill>
              </a:ln>
              <a:effectLst>
                <a:outerShdw blurRad="50800" dist="38100" dir="2700000" algn="tl" rotWithShape="0">
                  <a:prstClr val="black">
                    <a:alpha val="40000"/>
                  </a:prstClr>
                </a:outerShdw>
              </a:effectLst>
            </c:spPr>
          </c:marker>
          <c:xVal>
            <c:numRef>
              <c:f>'6-Loss Ratio Trend'!$B$46:$B$66</c:f>
              <c:numCache>
                <c:formatCode>mm/dd/yy;@</c:formatCode>
                <c:ptCount val="21"/>
                <c:pt idx="0">
                  <c:v>-1826.25</c:v>
                </c:pt>
                <c:pt idx="1">
                  <c:v>-1734.9375</c:v>
                </c:pt>
                <c:pt idx="2">
                  <c:v>-1643.625</c:v>
                </c:pt>
                <c:pt idx="3">
                  <c:v>-1552.3125</c:v>
                </c:pt>
                <c:pt idx="4">
                  <c:v>-1461</c:v>
                </c:pt>
                <c:pt idx="5">
                  <c:v>-1369.6875</c:v>
                </c:pt>
                <c:pt idx="6">
                  <c:v>-1278.375</c:v>
                </c:pt>
                <c:pt idx="7">
                  <c:v>-1187.0625</c:v>
                </c:pt>
                <c:pt idx="8">
                  <c:v>-1095.75</c:v>
                </c:pt>
                <c:pt idx="9">
                  <c:v>-1004.4375</c:v>
                </c:pt>
                <c:pt idx="10">
                  <c:v>-913.125</c:v>
                </c:pt>
                <c:pt idx="11">
                  <c:v>-821.8125</c:v>
                </c:pt>
                <c:pt idx="12">
                  <c:v>-730.5</c:v>
                </c:pt>
                <c:pt idx="13">
                  <c:v>-639.1875</c:v>
                </c:pt>
                <c:pt idx="14">
                  <c:v>-547.875</c:v>
                </c:pt>
                <c:pt idx="15">
                  <c:v>-456.5625</c:v>
                </c:pt>
                <c:pt idx="16">
                  <c:v>-365.25</c:v>
                </c:pt>
                <c:pt idx="17">
                  <c:v>-273.9375</c:v>
                </c:pt>
                <c:pt idx="18">
                  <c:v>-182.625</c:v>
                </c:pt>
                <c:pt idx="19">
                  <c:v>-91.3125</c:v>
                </c:pt>
                <c:pt idx="20">
                  <c:v>0</c:v>
                </c:pt>
              </c:numCache>
            </c:numRef>
          </c:xVal>
          <c:yVal>
            <c:numRef>
              <c:f>'6-Loss Ratio Trend'!$E$46:$E$66</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ser>
        <c:ser>
          <c:idx val="3"/>
          <c:order val="3"/>
          <c:tx>
            <c:strRef>
              <c:f>'1-Indication'!$H$21</c:f>
              <c:strCache>
                <c:ptCount val="1"/>
                <c:pt idx="0">
                  <c:v>Weighted Projected Non-Cat Loss &amp; DCCE Ratio</c:v>
                </c:pt>
              </c:strCache>
            </c:strRef>
          </c:tx>
          <c:spPr>
            <a:ln>
              <a:noFill/>
            </a:ln>
            <a:effectLst>
              <a:outerShdw blurRad="50800" dist="38100" dir="2700000" algn="tl" rotWithShape="0">
                <a:prstClr val="black">
                  <a:alpha val="40000"/>
                </a:prstClr>
              </a:outerShdw>
            </a:effectLst>
          </c:spPr>
          <c:marker>
            <c:symbol val="star"/>
            <c:size val="7"/>
            <c:spPr>
              <a:noFill/>
              <a:ln w="11430">
                <a:solidFill>
                  <a:srgbClr val="8064A2">
                    <a:lumMod val="50000"/>
                  </a:srgbClr>
                </a:solidFill>
              </a:ln>
              <a:effectLst>
                <a:outerShdw blurRad="50800" dist="38100" dir="2700000" algn="tl" rotWithShape="0">
                  <a:prstClr val="black">
                    <a:alpha val="40000"/>
                  </a:prstClr>
                </a:outerShdw>
              </a:effectLst>
            </c:spPr>
          </c:marker>
          <c:dLbls>
            <c:numFmt formatCode="0%" sourceLinked="0"/>
            <c:spPr>
              <a:effectLst>
                <a:outerShdw blurRad="50800" dist="38100" dir="2700000" algn="tl" rotWithShape="0">
                  <a:prstClr val="black">
                    <a:alpha val="40000"/>
                  </a:prstClr>
                </a:outerShdw>
              </a:effectLst>
            </c:spPr>
            <c:txPr>
              <a:bodyPr/>
              <a:lstStyle/>
              <a:p>
                <a:pPr>
                  <a:defRPr sz="800"/>
                </a:pPr>
                <a:endParaRPr lang="en-US"/>
              </a:p>
            </c:txPr>
            <c:dLblPos val="t"/>
            <c:showVal val="1"/>
          </c:dLbls>
          <c:xVal>
            <c:numRef>
              <c:f>'6-Loss Ratio Trend'!$C$68</c:f>
              <c:numCache>
                <c:formatCode>mm/dd/yy;@</c:formatCode>
                <c:ptCount val="1"/>
                <c:pt idx="0">
                  <c:v>0</c:v>
                </c:pt>
              </c:numCache>
            </c:numRef>
          </c:xVal>
          <c:yVal>
            <c:numRef>
              <c:f>'1-Indication'!$K$21</c:f>
              <c:numCache>
                <c:formatCode>0.0%</c:formatCode>
                <c:ptCount val="1"/>
                <c:pt idx="0">
                  <c:v>0</c:v>
                </c:pt>
              </c:numCache>
            </c:numRef>
          </c:yVal>
          <c:smooth val="1"/>
        </c:ser>
        <c:axId val="212544896"/>
        <c:axId val="212665856"/>
      </c:scatterChart>
      <c:valAx>
        <c:axId val="212544896"/>
        <c:scaling>
          <c:orientation val="minMax"/>
        </c:scaling>
        <c:axPos val="b"/>
        <c:title>
          <c:tx>
            <c:rich>
              <a:bodyPr/>
              <a:lstStyle/>
              <a:p>
                <a:pPr>
                  <a:defRPr/>
                </a:pPr>
                <a:r>
                  <a:rPr lang="en-US"/>
                  <a:t>Year Ending</a:t>
                </a:r>
              </a:p>
            </c:rich>
          </c:tx>
          <c:layout>
            <c:manualLayout>
              <c:xMode val="edge"/>
              <c:yMode val="edge"/>
              <c:x val="0.38013490071983908"/>
              <c:y val="0.92999828825744624"/>
            </c:manualLayout>
          </c:layout>
        </c:title>
        <c:numFmt formatCode="mm/yyyy" sourceLinked="0"/>
        <c:minorTickMark val="in"/>
        <c:tickLblPos val="low"/>
        <c:txPr>
          <a:bodyPr rot="-2700000" vert="horz"/>
          <a:lstStyle/>
          <a:p>
            <a:pPr>
              <a:defRPr sz="900"/>
            </a:pPr>
            <a:endParaRPr lang="en-US"/>
          </a:p>
        </c:txPr>
        <c:crossAx val="212665856"/>
        <c:crosses val="autoZero"/>
        <c:crossBetween val="midCat"/>
        <c:majorUnit val="365.25"/>
        <c:minorUnit val="182.5"/>
      </c:valAx>
      <c:valAx>
        <c:axId val="212665856"/>
        <c:scaling>
          <c:orientation val="minMax"/>
          <c:min val="0"/>
        </c:scaling>
        <c:axPos val="l"/>
        <c:majorGridlines/>
        <c:title>
          <c:tx>
            <c:rich>
              <a:bodyPr rot="-5400000" vert="horz"/>
              <a:lstStyle/>
              <a:p>
                <a:pPr>
                  <a:defRPr/>
                </a:pPr>
                <a:r>
                  <a:rPr lang="en-US"/>
                  <a:t>Non-Cat Loss Ratio</a:t>
                </a:r>
              </a:p>
            </c:rich>
          </c:tx>
          <c:layout>
            <c:manualLayout>
              <c:xMode val="edge"/>
              <c:yMode val="edge"/>
              <c:x val="1.3669064748201443E-2"/>
              <c:y val="0.36353749366855481"/>
            </c:manualLayout>
          </c:layout>
        </c:title>
        <c:numFmt formatCode="0%" sourceLinked="0"/>
        <c:minorTickMark val="in"/>
        <c:tickLblPos val="low"/>
        <c:txPr>
          <a:bodyPr/>
          <a:lstStyle/>
          <a:p>
            <a:pPr>
              <a:defRPr sz="900"/>
            </a:pPr>
            <a:endParaRPr lang="en-US"/>
          </a:p>
        </c:txPr>
        <c:crossAx val="212544896"/>
        <c:crosses val="autoZero"/>
        <c:crossBetween val="midCat"/>
        <c:minorUnit val="0.05"/>
      </c:valAx>
      <c:spPr>
        <a:ln>
          <a:solidFill>
            <a:sysClr val="windowText" lastClr="000000">
              <a:lumMod val="50000"/>
              <a:lumOff val="50000"/>
            </a:sysClr>
          </a:solidFill>
        </a:ln>
      </c:spPr>
    </c:plotArea>
    <c:legend>
      <c:legendPos val="r"/>
      <c:layout>
        <c:manualLayout>
          <c:xMode val="edge"/>
          <c:yMode val="edge"/>
          <c:x val="0.80771249747627705"/>
          <c:y val="0.16486572959371815"/>
          <c:w val="0.18967107133586322"/>
          <c:h val="0.62572368278346646"/>
        </c:manualLayout>
      </c:layout>
      <c:overlay val="1"/>
      <c:txPr>
        <a:bodyPr/>
        <a:lstStyle/>
        <a:p>
          <a:pPr>
            <a:defRPr sz="800"/>
          </a:pPr>
          <a:endParaRPr lang="en-US"/>
        </a:p>
      </c:txPr>
    </c:legend>
    <c:plotVisOnly val="1"/>
  </c:chart>
  <c:spPr>
    <a:solidFill>
      <a:srgbClr val="C0504D">
        <a:lumMod val="20000"/>
        <a:lumOff val="80000"/>
      </a:srgbClr>
    </a:solidFill>
    <a:effectLst>
      <a:outerShdw blurRad="50800" dist="38100" dir="2700000" algn="tl" rotWithShape="0">
        <a:prstClr val="black">
          <a:alpha val="40000"/>
        </a:prstClr>
      </a:outerShdw>
    </a:effectLst>
    <a:scene3d>
      <a:camera prst="orthographicFront"/>
      <a:lightRig rig="morning" dir="t"/>
    </a:scene3d>
    <a:sp3d prstMaterial="matte"/>
  </c:sp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a:latin typeface="+mn-lt"/>
              </a:defRPr>
            </a:pPr>
            <a:r>
              <a:rPr lang="en-US">
                <a:latin typeface="+mn-lt"/>
              </a:rPr>
              <a:t>Policyholder Impact Distribution </a:t>
            </a:r>
          </a:p>
        </c:rich>
      </c:tx>
    </c:title>
    <c:plotArea>
      <c:layout/>
      <c:barChart>
        <c:barDir val="col"/>
        <c:grouping val="clustered"/>
        <c:ser>
          <c:idx val="2"/>
          <c:order val="0"/>
          <c:spPr>
            <a:solidFill>
              <a:schemeClr val="accent2">
                <a:lumMod val="40000"/>
                <a:lumOff val="60000"/>
              </a:schemeClr>
            </a:solidFill>
            <a:effectLst>
              <a:outerShdw blurRad="50800" dist="38100" dir="2700000" algn="tl" rotWithShape="0">
                <a:prstClr val="black">
                  <a:alpha val="40000"/>
                </a:prstClr>
              </a:outerShdw>
            </a:effectLst>
            <a:scene3d>
              <a:camera prst="orthographicFront"/>
              <a:lightRig rig="threePt" dir="t"/>
            </a:scene3d>
            <a:sp3d>
              <a:bevelT w="38100" h="38100"/>
            </a:sp3d>
          </c:spPr>
          <c:dLbls>
            <c:txPr>
              <a:bodyPr/>
              <a:lstStyle/>
              <a:p>
                <a:pPr>
                  <a:defRPr sz="800"/>
                </a:pPr>
                <a:endParaRPr lang="en-US"/>
              </a:p>
            </c:txPr>
            <c:showVal val="1"/>
          </c:dLbls>
          <c:cat>
            <c:numRef>
              <c:f>'15-Policyholder Impact'!$C$91:$C$103</c:f>
              <c:numCache>
                <c:formatCode>0.0%</c:formatCode>
                <c:ptCount val="13"/>
                <c:pt idx="0">
                  <c:v>-0.3</c:v>
                </c:pt>
                <c:pt idx="1">
                  <c:v>-0.25</c:v>
                </c:pt>
                <c:pt idx="2">
                  <c:v>-0.2</c:v>
                </c:pt>
                <c:pt idx="3">
                  <c:v>-0.15</c:v>
                </c:pt>
                <c:pt idx="4">
                  <c:v>-0.1</c:v>
                </c:pt>
                <c:pt idx="5">
                  <c:v>-0.05</c:v>
                </c:pt>
                <c:pt idx="6">
                  <c:v>0</c:v>
                </c:pt>
                <c:pt idx="7">
                  <c:v>0.05</c:v>
                </c:pt>
                <c:pt idx="8">
                  <c:v>0.1</c:v>
                </c:pt>
                <c:pt idx="9">
                  <c:v>0.15</c:v>
                </c:pt>
                <c:pt idx="10">
                  <c:v>0.2</c:v>
                </c:pt>
                <c:pt idx="11">
                  <c:v>0.25</c:v>
                </c:pt>
                <c:pt idx="12">
                  <c:v>0.3</c:v>
                </c:pt>
              </c:numCache>
            </c:numRef>
          </c:cat>
          <c:val>
            <c:numRef>
              <c:f>'15-Policyholder Impact'!$D$14:$D$26</c:f>
              <c:numCache>
                <c:formatCode>#,##0</c:formatCode>
                <c:ptCount val="13"/>
              </c:numCache>
            </c:numRef>
          </c:val>
        </c:ser>
        <c:axId val="217678976"/>
        <c:axId val="217680512"/>
      </c:barChart>
      <c:catAx>
        <c:axId val="217678976"/>
        <c:scaling>
          <c:orientation val="minMax"/>
        </c:scaling>
        <c:axPos val="b"/>
        <c:numFmt formatCode="0.0%" sourceLinked="0"/>
        <c:tickLblPos val="nextTo"/>
        <c:txPr>
          <a:bodyPr rot="-2700000" vert="horz" anchor="b" anchorCtr="1"/>
          <a:lstStyle/>
          <a:p>
            <a:pPr>
              <a:defRPr sz="900">
                <a:latin typeface="+mn-lt"/>
              </a:defRPr>
            </a:pPr>
            <a:endParaRPr lang="en-US"/>
          </a:p>
        </c:txPr>
        <c:crossAx val="217680512"/>
        <c:crosses val="autoZero"/>
        <c:lblAlgn val="ctr"/>
        <c:lblOffset val="0"/>
      </c:catAx>
      <c:valAx>
        <c:axId val="217680512"/>
        <c:scaling>
          <c:orientation val="minMax"/>
          <c:min val="0"/>
        </c:scaling>
        <c:axPos val="l"/>
        <c:majorGridlines/>
        <c:numFmt formatCode="#,##0" sourceLinked="0"/>
        <c:tickLblPos val="nextTo"/>
        <c:txPr>
          <a:bodyPr/>
          <a:lstStyle/>
          <a:p>
            <a:pPr>
              <a:defRPr sz="900">
                <a:latin typeface="+mn-lt"/>
              </a:defRPr>
            </a:pPr>
            <a:endParaRPr lang="en-US"/>
          </a:p>
        </c:txPr>
        <c:crossAx val="217678976"/>
        <c:crosses val="autoZero"/>
        <c:crossBetween val="between"/>
      </c:valAx>
      <c:spPr>
        <a:ln>
          <a:solidFill>
            <a:schemeClr val="bg1">
              <a:lumMod val="50000"/>
            </a:schemeClr>
          </a:solidFill>
        </a:ln>
        <a:effectLst/>
        <a:scene3d>
          <a:camera prst="orthographicFront"/>
          <a:lightRig rig="threePt" dir="t"/>
        </a:scene3d>
        <a:sp3d/>
      </c:spPr>
    </c:plotArea>
    <c:plotVisOnly val="1"/>
  </c:chart>
  <c:spPr>
    <a:solidFill>
      <a:schemeClr val="accent2">
        <a:lumMod val="20000"/>
        <a:lumOff val="80000"/>
      </a:schemeClr>
    </a:solidFill>
    <a:ln>
      <a:solidFill>
        <a:srgbClr val="1F497D">
          <a:lumMod val="75000"/>
        </a:srgbClr>
      </a:solidFill>
    </a:ln>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9</xdr:col>
      <xdr:colOff>22860</xdr:colOff>
      <xdr:row>7</xdr:row>
      <xdr:rowOff>60960</xdr:rowOff>
    </xdr:from>
    <xdr:to>
      <xdr:col>14</xdr:col>
      <xdr:colOff>838200</xdr:colOff>
      <xdr:row>21</xdr:row>
      <xdr:rowOff>99060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xdr:colOff>
      <xdr:row>6</xdr:row>
      <xdr:rowOff>99060</xdr:rowOff>
    </xdr:from>
    <xdr:to>
      <xdr:col>7</xdr:col>
      <xdr:colOff>586740</xdr:colOff>
      <xdr:row>22</xdr:row>
      <xdr:rowOff>106680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23</xdr:row>
      <xdr:rowOff>30480</xdr:rowOff>
    </xdr:from>
    <xdr:to>
      <xdr:col>7</xdr:col>
      <xdr:colOff>571500</xdr:colOff>
      <xdr:row>38</xdr:row>
      <xdr:rowOff>129540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30480</xdr:colOff>
      <xdr:row>39</xdr:row>
      <xdr:rowOff>38100</xdr:rowOff>
    </xdr:from>
    <xdr:to>
      <xdr:col>7</xdr:col>
      <xdr:colOff>579120</xdr:colOff>
      <xdr:row>55</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281940</xdr:colOff>
      <xdr:row>8</xdr:row>
      <xdr:rowOff>22860</xdr:rowOff>
    </xdr:from>
    <xdr:to>
      <xdr:col>12</xdr:col>
      <xdr:colOff>868680</xdr:colOff>
      <xdr:row>26</xdr:row>
      <xdr:rowOff>22860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182880</xdr:colOff>
      <xdr:row>28</xdr:row>
      <xdr:rowOff>45720</xdr:rowOff>
    </xdr:from>
    <xdr:to>
      <xdr:col>8</xdr:col>
      <xdr:colOff>678180</xdr:colOff>
      <xdr:row>47</xdr:row>
      <xdr:rowOff>7620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9:D263" totalsRowShown="0" dataDxfId="5" headerRowBorderDxfId="6" tableBorderDxfId="4">
  <autoFilter ref="A9:D263"/>
  <sortState ref="A8:D261">
    <sortCondition ref="A7:A261"/>
  </sortState>
  <tableColumns count="4">
    <tableColumn id="1" name="Index" dataDxfId="3" dataCellStyle="Percent 3"/>
    <tableColumn id="2" name="Benchmark_x000a_Territory" dataDxfId="2" dataCellStyle="Percent 3"/>
    <tableColumn id="3" name="County" dataDxfId="1" dataCellStyle="Normal_Sheet1"/>
    <tableColumn id="4" name="Average Premium Change" dataDxfId="0" dataCellStyle="Normal_Sheet1"/>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host.actuarialstandardsboard.org/standards-of-practice/" TargetMode="External"/><Relationship Id="rId2" Type="http://schemas.openxmlformats.org/officeDocument/2006/relationships/hyperlink" Target="http://texreg.sos.state.tx.us/public/readtac$ext.ViewTAC?tac_view=5&amp;ti=28&amp;pt=1&amp;ch=5&amp;sch=M&amp;div=6&amp;rl=Y" TargetMode="External"/><Relationship Id="rId1" Type="http://schemas.openxmlformats.org/officeDocument/2006/relationships/hyperlink" Target="http://www.statutes.legis.state.tx.us/Docs/IN/htm/IN.2251.htm" TargetMode="External"/><Relationship Id="rId5" Type="http://schemas.openxmlformats.org/officeDocument/2006/relationships/printerSettings" Target="../printerSettings/printerSettings1.bin"/><Relationship Id="rId4" Type="http://schemas.openxmlformats.org/officeDocument/2006/relationships/hyperlink" Target="http://www.tdi.texas.gov/pubs/pc/rspceasy.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statutes.legis.state.tx.us/Docs/IN/htm/IN.551.htm" TargetMode="External"/><Relationship Id="rId7" Type="http://schemas.openxmlformats.org/officeDocument/2006/relationships/hyperlink" Target="http://texreg.sos.state.tx.us/public/readtac$ext.TacPage?sl=R&amp;app=9&amp;p_dir=&amp;p_rloc=&amp;p_tloc=&amp;p_ploc=&amp;pg=1&amp;p_tac=&amp;ti=28&amp;pt=1&amp;ch=21&amp;rl=1007" TargetMode="External"/><Relationship Id="rId2" Type="http://schemas.openxmlformats.org/officeDocument/2006/relationships/hyperlink" Target="http://www.statutes.legis.state.tx.us/Docs/IN/htm/IN.544.htm" TargetMode="External"/><Relationship Id="rId1" Type="http://schemas.openxmlformats.org/officeDocument/2006/relationships/hyperlink" Target="http://www.statutes.legis.state.tx.us/Docs/IN/htm/IN.2251.htm" TargetMode="External"/><Relationship Id="rId6" Type="http://schemas.openxmlformats.org/officeDocument/2006/relationships/hyperlink" Target="http://texreg.sos.state.tx.us/public/readtac$ext.TacPage?sl=R&amp;app=9&amp;p_dir=&amp;p_rloc=&amp;p_tloc=&amp;p_ploc=&amp;pg=1&amp;p_tac=&amp;ti=28&amp;pt=1&amp;ch=21&amp;rl=1006" TargetMode="External"/><Relationship Id="rId5" Type="http://schemas.openxmlformats.org/officeDocument/2006/relationships/hyperlink" Target="http://texreg.sos.state.tx.us/public/readtac$ext.TacPage?sl=R&amp;app=9&amp;p_dir=&amp;p_rloc=&amp;p_tloc=&amp;p_ploc=&amp;pg=1&amp;p_tac=&amp;ti=28&amp;pt=1&amp;ch=21&amp;rl=1004" TargetMode="External"/><Relationship Id="rId4" Type="http://schemas.openxmlformats.org/officeDocument/2006/relationships/hyperlink" Target="http://www.statutes.legis.state.tx.us/Docs/IN/htm/IN.2006.htm" TargetMode="External"/><Relationship Id="rId9"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tdi.texas.gov/commercial/pcflxrt.html" TargetMode="External"/><Relationship Id="rId2" Type="http://schemas.openxmlformats.org/officeDocument/2006/relationships/hyperlink" Target="http://www.tdi.texas.gov/commercial/pcflxrt.html" TargetMode="External"/><Relationship Id="rId1" Type="http://schemas.openxmlformats.org/officeDocument/2006/relationships/hyperlink" Target="http://www.tdi.texas.gov/commercial/pcflxrt.html" TargetMode="Externa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A63"/>
  <sheetViews>
    <sheetView showGridLines="0" tabSelected="1" zoomScaleNormal="100" zoomScaleSheetLayoutView="100" workbookViewId="0">
      <pane ySplit="4" topLeftCell="A5" activePane="bottomLeft" state="frozen"/>
      <selection pane="bottomLeft"/>
    </sheetView>
  </sheetViews>
  <sheetFormatPr defaultColWidth="8.85546875" defaultRowHeight="15"/>
  <cols>
    <col min="1" max="1" width="98" style="353" customWidth="1"/>
    <col min="2" max="16384" width="8.85546875" style="353"/>
  </cols>
  <sheetData>
    <row r="1" spans="1:1" ht="18.75">
      <c r="A1" s="860" t="str">
        <f>'General Information'!A1</f>
        <v>Texas Department of Insurance</v>
      </c>
    </row>
    <row r="2" spans="1:1" ht="18.75">
      <c r="A2" s="860" t="str">
        <f>'General Information'!A2</f>
        <v>Property and Casualty Rate Filing Exhibits</v>
      </c>
    </row>
    <row r="4" spans="1:1" ht="15.75">
      <c r="A4" s="866" t="s">
        <v>659</v>
      </c>
    </row>
    <row r="5" spans="1:1">
      <c r="A5" s="1128" t="s">
        <v>915</v>
      </c>
    </row>
    <row r="7" spans="1:1" s="890" customFormat="1">
      <c r="A7" s="889" t="s">
        <v>163</v>
      </c>
    </row>
    <row r="8" spans="1:1" ht="39" customHeight="1">
      <c r="A8" s="931" t="s">
        <v>662</v>
      </c>
    </row>
    <row r="9" spans="1:1" ht="48" customHeight="1">
      <c r="A9" s="925" t="s">
        <v>663</v>
      </c>
    </row>
    <row r="10" spans="1:1" ht="30">
      <c r="A10" s="861" t="s">
        <v>664</v>
      </c>
    </row>
    <row r="11" spans="1:1">
      <c r="A11" s="862" t="s">
        <v>660</v>
      </c>
    </row>
    <row r="12" spans="1:1">
      <c r="A12" s="862" t="s">
        <v>658</v>
      </c>
    </row>
    <row r="13" spans="1:1" ht="45">
      <c r="A13" s="863" t="s">
        <v>825</v>
      </c>
    </row>
    <row r="14" spans="1:1" ht="105">
      <c r="A14" s="863" t="s">
        <v>683</v>
      </c>
    </row>
    <row r="15" spans="1:1" ht="45">
      <c r="A15" s="863" t="s">
        <v>792</v>
      </c>
    </row>
    <row r="16" spans="1:1">
      <c r="A16" s="354"/>
    </row>
    <row r="18" spans="1:1" s="890" customFormat="1">
      <c r="A18" s="889" t="s">
        <v>164</v>
      </c>
    </row>
    <row r="19" spans="1:1" s="930" customFormat="1" ht="35.450000000000003" customHeight="1">
      <c r="A19" s="929" t="s">
        <v>703</v>
      </c>
    </row>
    <row r="21" spans="1:1" s="865" customFormat="1" ht="45">
      <c r="A21" s="902" t="s">
        <v>698</v>
      </c>
    </row>
    <row r="22" spans="1:1" ht="43.9" customHeight="1">
      <c r="A22" s="865" t="s">
        <v>918</v>
      </c>
    </row>
    <row r="23" spans="1:1">
      <c r="A23" s="865" t="s">
        <v>682</v>
      </c>
    </row>
    <row r="24" spans="1:1" s="865" customFormat="1" ht="30">
      <c r="A24" s="928" t="s">
        <v>789</v>
      </c>
    </row>
    <row r="25" spans="1:1" s="865" customFormat="1" ht="30" customHeight="1">
      <c r="A25" s="928" t="s">
        <v>790</v>
      </c>
    </row>
    <row r="26" spans="1:1">
      <c r="A26" s="864" t="s">
        <v>791</v>
      </c>
    </row>
    <row r="27" spans="1:1">
      <c r="A27" s="854" t="s">
        <v>916</v>
      </c>
    </row>
    <row r="28" spans="1:1" s="865" customFormat="1" ht="88.15" customHeight="1">
      <c r="A28" s="928" t="s">
        <v>788</v>
      </c>
    </row>
    <row r="30" spans="1:1" s="890" customFormat="1">
      <c r="A30" s="889" t="s">
        <v>661</v>
      </c>
    </row>
    <row r="31" spans="1:1" s="927" customFormat="1">
      <c r="A31" s="926"/>
    </row>
    <row r="32" spans="1:1" s="927" customFormat="1">
      <c r="A32" s="926" t="s">
        <v>728</v>
      </c>
    </row>
    <row r="33" spans="1:1" s="927" customFormat="1">
      <c r="A33" s="926"/>
    </row>
    <row r="34" spans="1:1" ht="13.9" customHeight="1">
      <c r="A34" s="893" t="s">
        <v>639</v>
      </c>
    </row>
    <row r="35" spans="1:1" ht="12.4" customHeight="1">
      <c r="A35" s="893" t="s">
        <v>686</v>
      </c>
    </row>
    <row r="36" spans="1:1" ht="12.4" customHeight="1">
      <c r="A36" s="894" t="s">
        <v>507</v>
      </c>
    </row>
    <row r="37" spans="1:1" ht="12.4" customHeight="1">
      <c r="A37" s="894" t="s">
        <v>508</v>
      </c>
    </row>
    <row r="38" spans="1:1" ht="12.4" customHeight="1">
      <c r="A38" s="894" t="s">
        <v>509</v>
      </c>
    </row>
    <row r="39" spans="1:1" ht="12.4" customHeight="1">
      <c r="A39" s="894" t="s">
        <v>510</v>
      </c>
    </row>
    <row r="40" spans="1:1" ht="12.4" customHeight="1">
      <c r="A40" s="893" t="s">
        <v>180</v>
      </c>
    </row>
    <row r="41" spans="1:1" ht="12.4" customHeight="1">
      <c r="A41" s="893" t="s">
        <v>493</v>
      </c>
    </row>
    <row r="42" spans="1:1" ht="12.4" customHeight="1">
      <c r="A42" s="893" t="s">
        <v>494</v>
      </c>
    </row>
    <row r="43" spans="1:1" ht="12.4" customHeight="1">
      <c r="A43" s="893" t="s">
        <v>583</v>
      </c>
    </row>
    <row r="44" spans="1:1" ht="12.4" customHeight="1">
      <c r="A44" s="893" t="s">
        <v>584</v>
      </c>
    </row>
    <row r="45" spans="1:1" ht="12.4" customHeight="1">
      <c r="A45" s="893" t="s">
        <v>495</v>
      </c>
    </row>
    <row r="46" spans="1:1" ht="12.4" customHeight="1">
      <c r="A46" s="893" t="s">
        <v>585</v>
      </c>
    </row>
    <row r="47" spans="1:1" ht="12.4" customHeight="1">
      <c r="A47" s="893" t="s">
        <v>586</v>
      </c>
    </row>
    <row r="48" spans="1:1" ht="12.4" customHeight="1">
      <c r="A48" s="893" t="s">
        <v>587</v>
      </c>
    </row>
    <row r="49" spans="1:1" ht="12.4" customHeight="1">
      <c r="A49" s="893" t="s">
        <v>496</v>
      </c>
    </row>
    <row r="50" spans="1:1" ht="12.4" customHeight="1">
      <c r="A50" s="894" t="s">
        <v>497</v>
      </c>
    </row>
    <row r="51" spans="1:1" ht="12.4" customHeight="1">
      <c r="A51" s="893" t="s">
        <v>498</v>
      </c>
    </row>
    <row r="52" spans="1:1" ht="12.4" customHeight="1">
      <c r="A52" s="893" t="s">
        <v>525</v>
      </c>
    </row>
    <row r="53" spans="1:1" ht="12.4" customHeight="1">
      <c r="A53" s="893" t="s">
        <v>526</v>
      </c>
    </row>
    <row r="54" spans="1:1" ht="12.4" customHeight="1">
      <c r="A54" s="893" t="s">
        <v>503</v>
      </c>
    </row>
    <row r="55" spans="1:1" ht="12.4" customHeight="1">
      <c r="A55" s="894" t="s">
        <v>588</v>
      </c>
    </row>
    <row r="56" spans="1:1" ht="12.4" customHeight="1">
      <c r="A56" s="894" t="s">
        <v>589</v>
      </c>
    </row>
    <row r="57" spans="1:1" ht="12.4" customHeight="1">
      <c r="A57" s="894" t="s">
        <v>504</v>
      </c>
    </row>
    <row r="58" spans="1:1" ht="12.4" customHeight="1">
      <c r="A58" s="893" t="s">
        <v>505</v>
      </c>
    </row>
    <row r="59" spans="1:1" ht="12.4" customHeight="1">
      <c r="A59" s="894" t="s">
        <v>506</v>
      </c>
    </row>
    <row r="60" spans="1:1" ht="12.4" customHeight="1">
      <c r="A60" s="1056" t="s">
        <v>803</v>
      </c>
    </row>
    <row r="63" spans="1:1">
      <c r="A63" s="354" t="s">
        <v>917</v>
      </c>
    </row>
  </sheetData>
  <sheetProtection sheet="1" objects="1" scenarios="1"/>
  <hyperlinks>
    <hyperlink ref="A8" r:id="rId1" location="2251.052" display="2251.052"/>
    <hyperlink ref="A10" r:id="rId2" display="http://texreg.sos.state.tx.us/public/readtac$ext.ViewTAC?tac_view=5&amp;ti=28&amp;pt=1&amp;ch=5&amp;sch=M&amp;div=6&amp;rl=Y"/>
    <hyperlink ref="A14" r:id="rId3" display="http://host.actuarialstandardsboard.org/standards-of-practice/"/>
    <hyperlink ref="A13" r:id="rId4" display="http://www.tdi.texas.gov/pubs/pc/rspceasy.html"/>
    <hyperlink ref="A36" location="'C1-Statewide Avg Rate Level Chg'!A1" display="C1-Statewide Average Rate Level Change"/>
    <hyperlink ref="A37" location="'C2-Rate Change History'!A1" display="C2-Rate Change History"/>
    <hyperlink ref="A38" location="'C3-Rate Change by Variable'!A1" display="C3-Rate Change by Variable"/>
    <hyperlink ref="A39" location="'D-Historical Experience'!A1" display="D-Historical Experience"/>
    <hyperlink ref="A40" location="'E-Expense'!A1" display="E-Expense"/>
    <hyperlink ref="A41" location="'1-Indication'!A1" display="1-Indication"/>
    <hyperlink ref="A42" location="'2-Current Rate Level'!A1" display="2-Current Rate Level"/>
    <hyperlink ref="A43" location="'3A-Premium Trend'!A1" display="3A-Premium Trend"/>
    <hyperlink ref="A44" location="'3B-Premium Trend'!A1" display="3B-Premium Trend"/>
    <hyperlink ref="A45" location="'4-Loss Development'!A1" display="4-Loss Development"/>
    <hyperlink ref="A46" location="'5A-Loss Trend'!A1" display="5A-Loss Trend"/>
    <hyperlink ref="A47" location="'5B-Loss Trend'!A1" display="5B-Loss Trend"/>
    <hyperlink ref="A48" location="'5C-Loss Trend'!A1" display="5C-Loss Trend"/>
    <hyperlink ref="A49" location="'6-Loss Ratio Trend'!A1" display="6-Loss Ratio Trend"/>
    <hyperlink ref="A50" location="'7-Non-Modeled Cat'!A1" display="7-Non-Modeled Cat"/>
    <hyperlink ref="A51" location="'8-Modeled Cat'!A1" display="8-Modeled Cat"/>
    <hyperlink ref="A52" location="'9-Loss Adjustment Expenses'!A1" display="9-Loss Adjustment Expenses"/>
    <hyperlink ref="A53" location="'10-Fixed &amp; Variable Expenses'!A1" display="10-Fixed &amp; Variable Expenses"/>
    <hyperlink ref="A54" location="'11-Reinsurance'!A1" display="11-Reinsurance"/>
    <hyperlink ref="A55" location="'12A-Profit'!A1" display="12A-Profit"/>
    <hyperlink ref="A56" location="'12B-Total Return'!A1" display="12B-Effective Return on Equity"/>
    <hyperlink ref="A57" location="'13-Credibility'!A1" display="13-Credibility"/>
    <hyperlink ref="A58" location="'14-Fees'!A1" display="14-Fees"/>
    <hyperlink ref="A59" location="'15-Policyholder Impact'!A1" display="15-Policyholder Impact"/>
    <hyperlink ref="A60" location="'16-Premium Change by County'!A1" display="16-Premium Change by County"/>
    <hyperlink ref="A35" location="'General Information'!A1" display="General Information"/>
    <hyperlink ref="A34" location="Checklist!A1" display="Checklist"/>
  </hyperlinks>
  <printOptions horizontalCentered="1"/>
  <pageMargins left="0.5" right="0.5" top="0.5" bottom="0.5" header="0.3" footer="0.3"/>
  <pageSetup scale="95" orientation="portrait" r:id="rId5"/>
  <headerFooter>
    <oddFooter>&amp;RPage &amp;P of &amp;N&amp;LTexas Department of Insurance</oddFooter>
  </headerFooter>
  <rowBreaks count="1" manualBreakCount="1">
    <brk id="29" max="16383" man="1"/>
  </rowBreaks>
</worksheet>
</file>

<file path=xl/worksheets/sheet10.xml><?xml version="1.0" encoding="utf-8"?>
<worksheet xmlns="http://schemas.openxmlformats.org/spreadsheetml/2006/main" xmlns:r="http://schemas.openxmlformats.org/officeDocument/2006/relationships">
  <sheetPr codeName="Sheet3">
    <pageSetUpPr fitToPage="1"/>
  </sheetPr>
  <dimension ref="A1:I51"/>
  <sheetViews>
    <sheetView showGridLines="0" workbookViewId="0">
      <pane ySplit="6" topLeftCell="A7" activePane="bottomLeft" state="frozen"/>
      <selection pane="bottomLeft"/>
    </sheetView>
  </sheetViews>
  <sheetFormatPr defaultColWidth="8.85546875" defaultRowHeight="15"/>
  <cols>
    <col min="1" max="1" width="2.85546875" style="129" customWidth="1"/>
    <col min="2" max="3" width="14.140625" style="129" customWidth="1"/>
    <col min="4" max="4" width="6.85546875" style="129" customWidth="1"/>
    <col min="5" max="7" width="14.140625" style="129" customWidth="1"/>
    <col min="8" max="8" width="17.5703125" style="129" customWidth="1"/>
    <col min="9" max="9" width="8.85546875" style="129" hidden="1" customWidth="1"/>
    <col min="10" max="16384" width="8.85546875" style="129"/>
  </cols>
  <sheetData>
    <row r="1" spans="2:8" ht="17.25">
      <c r="B1" s="9" t="str">
        <f>'5A-Loss Trend'!C1</f>
        <v>Texas Department of Insurance</v>
      </c>
      <c r="H1" s="436" t="str">
        <f xml:space="preserve"> "Home - "&amp;MID(B4,9,1)</f>
        <v>Home - 2</v>
      </c>
    </row>
    <row r="2" spans="2:8" ht="17.25">
      <c r="B2" s="9" t="str">
        <f>'5A-Loss Trend'!C2</f>
        <v>Property and Casualty Rate Filing Exhibits</v>
      </c>
    </row>
    <row r="3" spans="2:8">
      <c r="H3" s="330"/>
    </row>
    <row r="4" spans="2:8" ht="15.75">
      <c r="B4" s="165" t="s">
        <v>482</v>
      </c>
      <c r="C4" s="160"/>
      <c r="D4" s="166"/>
      <c r="G4" s="1120" t="s">
        <v>140</v>
      </c>
      <c r="H4" s="1121" t="str">
        <f>'1-Indication'!J4</f>
        <v/>
      </c>
    </row>
    <row r="5" spans="2:8">
      <c r="G5" s="1120" t="s">
        <v>787</v>
      </c>
      <c r="H5" s="1121" t="str">
        <f>'1-Indication'!J5</f>
        <v/>
      </c>
    </row>
    <row r="6" spans="2:8">
      <c r="G6" s="330"/>
    </row>
    <row r="7" spans="2:8">
      <c r="F7" s="330"/>
      <c r="G7" s="272"/>
    </row>
    <row r="8" spans="2:8">
      <c r="B8" s="438">
        <v>-1</v>
      </c>
      <c r="C8" s="438">
        <f>B8-1</f>
        <v>-2</v>
      </c>
      <c r="E8" s="137">
        <f>C8-1</f>
        <v>-3</v>
      </c>
      <c r="F8" s="138">
        <f>E8-1</f>
        <v>-4</v>
      </c>
      <c r="G8" s="138">
        <f>F8-1</f>
        <v>-5</v>
      </c>
      <c r="H8" s="1084">
        <f>G8-1</f>
        <v>-6</v>
      </c>
    </row>
    <row r="9" spans="2:8" ht="14.45" customHeight="1">
      <c r="B9" s="1368" t="s">
        <v>67</v>
      </c>
      <c r="C9" s="1369"/>
      <c r="E9" s="1371" t="str">
        <f>'1-Indication'!A9</f>
        <v>Accident Year Ending</v>
      </c>
      <c r="F9" s="1371" t="s">
        <v>3</v>
      </c>
      <c r="G9" s="1370" t="s">
        <v>68</v>
      </c>
      <c r="H9" s="1372" t="s">
        <v>60</v>
      </c>
    </row>
    <row r="10" spans="2:8">
      <c r="B10" s="529" t="s">
        <v>65</v>
      </c>
      <c r="C10" s="530" t="s">
        <v>66</v>
      </c>
      <c r="D10" s="150"/>
      <c r="E10" s="1371"/>
      <c r="F10" s="1371"/>
      <c r="G10" s="1370"/>
      <c r="H10" s="1373"/>
    </row>
    <row r="11" spans="2:8">
      <c r="B11" s="631"/>
      <c r="C11" s="688"/>
      <c r="D11" s="221"/>
      <c r="E11" s="335" t="str">
        <f>'1-Indication'!A10</f>
        <v>__ /__ /20__</v>
      </c>
      <c r="F11" s="339">
        <f>'1-Indication'!B10</f>
        <v>0</v>
      </c>
      <c r="G11" s="692"/>
      <c r="H11" s="1092">
        <f>F11*G11</f>
        <v>0</v>
      </c>
    </row>
    <row r="12" spans="2:8">
      <c r="B12" s="634"/>
      <c r="C12" s="689"/>
      <c r="D12" s="150"/>
      <c r="E12" s="336" t="str">
        <f>'1-Indication'!A11</f>
        <v>__ /__ /20__</v>
      </c>
      <c r="F12" s="338">
        <f>'1-Indication'!B11</f>
        <v>0</v>
      </c>
      <c r="G12" s="693"/>
      <c r="H12" s="1086">
        <f>F12*G12</f>
        <v>0</v>
      </c>
    </row>
    <row r="13" spans="2:8">
      <c r="B13" s="637"/>
      <c r="C13" s="690"/>
      <c r="D13" s="150"/>
      <c r="E13" s="335" t="str">
        <f>'1-Indication'!A12</f>
        <v>__ /__ /20__</v>
      </c>
      <c r="F13" s="339">
        <f>'1-Indication'!B12</f>
        <v>0</v>
      </c>
      <c r="G13" s="694"/>
      <c r="H13" s="1085">
        <f>F13*G13</f>
        <v>0</v>
      </c>
    </row>
    <row r="14" spans="2:8">
      <c r="B14" s="634"/>
      <c r="C14" s="689"/>
      <c r="D14" s="150"/>
      <c r="E14" s="336" t="str">
        <f>'1-Indication'!A13</f>
        <v>__ /__ /20__</v>
      </c>
      <c r="F14" s="338">
        <f>'1-Indication'!B13</f>
        <v>0</v>
      </c>
      <c r="G14" s="693"/>
      <c r="H14" s="1086">
        <f>F14*G14</f>
        <v>0</v>
      </c>
    </row>
    <row r="15" spans="2:8">
      <c r="B15" s="637"/>
      <c r="C15" s="690"/>
      <c r="D15" s="150"/>
      <c r="E15" s="337" t="str">
        <f>'1-Indication'!A14</f>
        <v>__ /__ /20__</v>
      </c>
      <c r="F15" s="340">
        <f>'1-Indication'!B14</f>
        <v>0</v>
      </c>
      <c r="G15" s="695"/>
      <c r="H15" s="1087">
        <f>F15*G15</f>
        <v>0</v>
      </c>
    </row>
    <row r="16" spans="2:8">
      <c r="B16" s="634"/>
      <c r="C16" s="689"/>
      <c r="D16" s="150"/>
    </row>
    <row r="17" spans="1:9">
      <c r="B17" s="637"/>
      <c r="C17" s="690"/>
      <c r="D17" s="150"/>
    </row>
    <row r="18" spans="1:9">
      <c r="B18" s="634"/>
      <c r="C18" s="689"/>
      <c r="D18" s="150"/>
    </row>
    <row r="19" spans="1:9">
      <c r="B19" s="637"/>
      <c r="C19" s="690"/>
      <c r="D19" s="150"/>
    </row>
    <row r="20" spans="1:9">
      <c r="B20" s="634"/>
      <c r="C20" s="689"/>
      <c r="D20" s="150"/>
    </row>
    <row r="21" spans="1:9">
      <c r="B21" s="637"/>
      <c r="C21" s="690"/>
      <c r="D21" s="150"/>
    </row>
    <row r="22" spans="1:9">
      <c r="B22" s="643"/>
      <c r="C22" s="691"/>
      <c r="D22" s="150"/>
    </row>
    <row r="23" spans="1:9">
      <c r="B23" s="147"/>
      <c r="C23" s="148"/>
      <c r="D23" s="15"/>
    </row>
    <row r="24" spans="1:9">
      <c r="A24" s="147"/>
      <c r="B24" s="154"/>
    </row>
    <row r="25" spans="1:9" ht="14.45" customHeight="1">
      <c r="A25" s="147">
        <f>H8-1</f>
        <v>-7</v>
      </c>
      <c r="B25" s="1374" t="s">
        <v>847</v>
      </c>
      <c r="C25" s="1375"/>
      <c r="D25" s="1375"/>
      <c r="E25" s="1375"/>
      <c r="F25" s="1375"/>
      <c r="G25" s="1375"/>
      <c r="H25" s="1376"/>
      <c r="I25" s="1112" t="s">
        <v>111</v>
      </c>
    </row>
    <row r="26" spans="1:9" ht="16.899999999999999" customHeight="1">
      <c r="B26" s="1377" t="s">
        <v>111</v>
      </c>
      <c r="C26" s="1378"/>
      <c r="D26" s="1108"/>
      <c r="E26" s="1108"/>
      <c r="F26" s="1108"/>
      <c r="G26" s="1108"/>
      <c r="H26" s="1109"/>
      <c r="I26" s="1112" t="s">
        <v>146</v>
      </c>
    </row>
    <row r="27" spans="1:9" ht="14.45" customHeight="1">
      <c r="A27" s="147"/>
      <c r="B27" s="1365" t="s">
        <v>637</v>
      </c>
      <c r="C27" s="1366"/>
      <c r="D27" s="1366"/>
      <c r="E27" s="1366"/>
      <c r="F27" s="1366"/>
      <c r="G27" s="1366"/>
      <c r="H27" s="1367"/>
      <c r="I27" s="963" t="s">
        <v>147</v>
      </c>
    </row>
    <row r="28" spans="1:9">
      <c r="A28" s="441"/>
      <c r="B28" s="1362"/>
      <c r="C28" s="1363"/>
      <c r="D28" s="1363"/>
      <c r="E28" s="1363"/>
      <c r="F28" s="1363"/>
      <c r="G28" s="1363"/>
      <c r="H28" s="1364"/>
      <c r="I28" s="1112" t="s">
        <v>148</v>
      </c>
    </row>
    <row r="29" spans="1:9">
      <c r="A29" s="441"/>
      <c r="B29" s="1298"/>
      <c r="C29" s="1299"/>
      <c r="D29" s="1299"/>
      <c r="E29" s="1299"/>
      <c r="F29" s="1299"/>
      <c r="G29" s="1299"/>
      <c r="H29" s="1300"/>
    </row>
    <row r="30" spans="1:9">
      <c r="A30" s="441"/>
      <c r="B30" s="1298"/>
      <c r="C30" s="1299"/>
      <c r="D30" s="1299"/>
      <c r="E30" s="1299"/>
      <c r="F30" s="1299"/>
      <c r="G30" s="1299"/>
      <c r="H30" s="1300"/>
    </row>
    <row r="31" spans="1:9">
      <c r="A31" s="441"/>
      <c r="B31" s="1298"/>
      <c r="C31" s="1299"/>
      <c r="D31" s="1299"/>
      <c r="E31" s="1299"/>
      <c r="F31" s="1299"/>
      <c r="G31" s="1299"/>
      <c r="H31" s="1300"/>
    </row>
    <row r="32" spans="1:9">
      <c r="A32" s="441"/>
      <c r="B32" s="1298"/>
      <c r="C32" s="1299"/>
      <c r="D32" s="1299"/>
      <c r="E32" s="1299"/>
      <c r="F32" s="1299"/>
      <c r="G32" s="1299"/>
      <c r="H32" s="1300"/>
    </row>
    <row r="33" spans="1:8">
      <c r="A33" s="441"/>
      <c r="B33" s="1298"/>
      <c r="C33" s="1299"/>
      <c r="D33" s="1299"/>
      <c r="E33" s="1299"/>
      <c r="F33" s="1299"/>
      <c r="G33" s="1299"/>
      <c r="H33" s="1300"/>
    </row>
    <row r="34" spans="1:8">
      <c r="A34" s="441"/>
      <c r="B34" s="1298"/>
      <c r="C34" s="1299"/>
      <c r="D34" s="1299"/>
      <c r="E34" s="1299"/>
      <c r="F34" s="1299"/>
      <c r="G34" s="1299"/>
      <c r="H34" s="1300"/>
    </row>
    <row r="35" spans="1:8">
      <c r="A35" s="441"/>
      <c r="B35" s="1298"/>
      <c r="C35" s="1299"/>
      <c r="D35" s="1299"/>
      <c r="E35" s="1299"/>
      <c r="F35" s="1299"/>
      <c r="G35" s="1299"/>
      <c r="H35" s="1300"/>
    </row>
    <row r="36" spans="1:8">
      <c r="A36" s="441"/>
      <c r="B36" s="1298"/>
      <c r="C36" s="1299"/>
      <c r="D36" s="1299"/>
      <c r="E36" s="1299"/>
      <c r="F36" s="1299"/>
      <c r="G36" s="1299"/>
      <c r="H36" s="1300"/>
    </row>
    <row r="37" spans="1:8">
      <c r="A37" s="441"/>
      <c r="B37" s="1298"/>
      <c r="C37" s="1299"/>
      <c r="D37" s="1299"/>
      <c r="E37" s="1299"/>
      <c r="F37" s="1299"/>
      <c r="G37" s="1299"/>
      <c r="H37" s="1300"/>
    </row>
    <row r="38" spans="1:8">
      <c r="A38" s="441"/>
      <c r="B38" s="1298"/>
      <c r="C38" s="1299"/>
      <c r="D38" s="1299"/>
      <c r="E38" s="1299"/>
      <c r="F38" s="1299"/>
      <c r="G38" s="1299"/>
      <c r="H38" s="1300"/>
    </row>
    <row r="39" spans="1:8">
      <c r="B39" s="1301"/>
      <c r="C39" s="1302"/>
      <c r="D39" s="1302"/>
      <c r="E39" s="1302"/>
      <c r="F39" s="1302"/>
      <c r="G39" s="1302"/>
      <c r="H39" s="1303"/>
    </row>
    <row r="40" spans="1:8">
      <c r="B40" s="962"/>
      <c r="C40" s="962"/>
      <c r="D40" s="962"/>
      <c r="E40" s="962"/>
      <c r="F40" s="962"/>
      <c r="G40" s="962"/>
      <c r="H40" s="962"/>
    </row>
    <row r="41" spans="1:8">
      <c r="B41" s="962"/>
      <c r="C41" s="962"/>
      <c r="D41" s="962"/>
      <c r="E41" s="962"/>
      <c r="F41" s="962"/>
      <c r="G41" s="962"/>
      <c r="H41" s="962"/>
    </row>
    <row r="43" spans="1:8" ht="12" customHeight="1">
      <c r="A43" s="447" t="s">
        <v>515</v>
      </c>
      <c r="B43" s="204"/>
    </row>
    <row r="44" spans="1:8" ht="12" customHeight="1">
      <c r="A44" s="450">
        <v>-1</v>
      </c>
      <c r="B44" s="451" t="s">
        <v>145</v>
      </c>
    </row>
    <row r="45" spans="1:8" ht="12" customHeight="1">
      <c r="A45" s="450">
        <f>A44-1</f>
        <v>-2</v>
      </c>
      <c r="B45" s="451" t="s">
        <v>145</v>
      </c>
    </row>
    <row r="46" spans="1:8" ht="12" customHeight="1">
      <c r="A46" s="450">
        <f t="shared" ref="A46:A49" si="0">A45-1</f>
        <v>-3</v>
      </c>
      <c r="B46" s="452" t="s">
        <v>517</v>
      </c>
    </row>
    <row r="47" spans="1:8" ht="12" customHeight="1">
      <c r="A47" s="450">
        <f t="shared" si="0"/>
        <v>-4</v>
      </c>
      <c r="B47" s="452" t="s">
        <v>517</v>
      </c>
    </row>
    <row r="48" spans="1:8" ht="12" customHeight="1">
      <c r="A48" s="450">
        <f t="shared" si="0"/>
        <v>-5</v>
      </c>
      <c r="B48" s="451" t="s">
        <v>145</v>
      </c>
    </row>
    <row r="49" spans="1:2" ht="12" customHeight="1">
      <c r="A49" s="450">
        <f t="shared" si="0"/>
        <v>-6</v>
      </c>
      <c r="B49" s="453" t="s">
        <v>754</v>
      </c>
    </row>
    <row r="50" spans="1:2">
      <c r="A50" s="438"/>
    </row>
    <row r="51" spans="1:2">
      <c r="A51" s="438"/>
    </row>
  </sheetData>
  <sheetProtection sheet="1" objects="1" scenarios="1"/>
  <mergeCells count="9">
    <mergeCell ref="B28:H39"/>
    <mergeCell ref="B27:H27"/>
    <mergeCell ref="B9:C9"/>
    <mergeCell ref="G9:G10"/>
    <mergeCell ref="F9:F10"/>
    <mergeCell ref="E9:E10"/>
    <mergeCell ref="H9:H10"/>
    <mergeCell ref="B25:H25"/>
    <mergeCell ref="B26:C26"/>
  </mergeCells>
  <conditionalFormatting sqref="G11:G15">
    <cfRule type="expression" dxfId="98" priority="5">
      <formula>G11=""</formula>
    </cfRule>
  </conditionalFormatting>
  <conditionalFormatting sqref="B11:C22">
    <cfRule type="expression" dxfId="97" priority="4">
      <formula>B$11=""</formula>
    </cfRule>
  </conditionalFormatting>
  <conditionalFormatting sqref="B26:H26">
    <cfRule type="expression" dxfId="96" priority="10">
      <formula>$B$26=$I$25</formula>
    </cfRule>
  </conditionalFormatting>
  <conditionalFormatting sqref="B28">
    <cfRule type="expression" dxfId="95" priority="13">
      <formula>AND($B$26=$I$28,$B$28="")</formula>
    </cfRule>
  </conditionalFormatting>
  <conditionalFormatting sqref="B27">
    <cfRule type="expression" dxfId="94" priority="15">
      <formula>$B$26=$I$28</formula>
    </cfRule>
  </conditionalFormatting>
  <dataValidations count="1">
    <dataValidation type="list" showInputMessage="1" showErrorMessage="1" sqref="B26:C26">
      <formula1>$I$25:$I$28</formula1>
    </dataValidation>
  </dataValidations>
  <printOptions horizontalCentered="1"/>
  <pageMargins left="0.5" right="0.5" top="0.5" bottom="0.5" header="0.3" footer="0.3"/>
  <pageSetup scale="97" orientation="portrait" r:id="rId1"/>
  <headerFooter>
    <oddFooter>&amp;LRevised 3/2013&amp;RPage &amp;P of &amp;N</oddFooter>
  </headerFooter>
</worksheet>
</file>

<file path=xl/worksheets/sheet11.xml><?xml version="1.0" encoding="utf-8"?>
<worksheet xmlns="http://schemas.openxmlformats.org/spreadsheetml/2006/main" xmlns:r="http://schemas.openxmlformats.org/officeDocument/2006/relationships">
  <sheetPr codeName="Sheet4">
    <pageSetUpPr fitToPage="1"/>
  </sheetPr>
  <dimension ref="A1:P41"/>
  <sheetViews>
    <sheetView showGridLines="0" topLeftCell="B1" workbookViewId="0">
      <pane ySplit="4" topLeftCell="A5" activePane="bottomLeft" state="frozen"/>
      <selection pane="bottomLeft"/>
    </sheetView>
  </sheetViews>
  <sheetFormatPr defaultColWidth="8.85546875" defaultRowHeight="15"/>
  <cols>
    <col min="1" max="1" width="5.42578125" style="6" hidden="1" customWidth="1"/>
    <col min="2" max="4" width="13.7109375" style="6" customWidth="1"/>
    <col min="5" max="5" width="7.28515625" style="6" customWidth="1"/>
    <col min="6" max="8" width="13.7109375" style="6" customWidth="1"/>
    <col min="9" max="9" width="7.28515625" style="6" customWidth="1"/>
    <col min="10" max="11" width="8.7109375" style="6" customWidth="1"/>
    <col min="12" max="13" width="13.140625" style="6" customWidth="1"/>
    <col min="14" max="14" width="8.7109375" style="6" customWidth="1"/>
    <col min="15" max="15" width="14.140625" style="6" customWidth="1"/>
    <col min="16" max="16384" width="8.85546875" style="6"/>
  </cols>
  <sheetData>
    <row r="1" spans="1:15" ht="17.25">
      <c r="B1" s="9" t="str">
        <f>'6-Loss Ratio Trend'!C1</f>
        <v>Texas Department of Insurance</v>
      </c>
      <c r="O1" s="190" t="str">
        <f xml:space="preserve"> "Home - "&amp;MID(B4,9,2)</f>
        <v>Home - 3A</v>
      </c>
    </row>
    <row r="2" spans="1:15" ht="17.25">
      <c r="B2" s="9" t="str">
        <f>'6-Loss Ratio Trend'!C2</f>
        <v>Property and Casualty Rate Filing Exhibits</v>
      </c>
    </row>
    <row r="3" spans="1:15">
      <c r="B3" s="8"/>
    </row>
    <row r="4" spans="1:15" ht="15.75">
      <c r="B4" s="165" t="s">
        <v>550</v>
      </c>
      <c r="C4" s="160"/>
      <c r="D4" s="189"/>
      <c r="N4" s="1120" t="s">
        <v>140</v>
      </c>
      <c r="O4" s="1121" t="str">
        <f>'2-Current Rate Level'!H4</f>
        <v/>
      </c>
    </row>
    <row r="5" spans="1:15" s="161" customFormat="1" ht="15.75">
      <c r="B5" s="440"/>
      <c r="C5" s="93"/>
      <c r="D5" s="93"/>
      <c r="N5" s="1120" t="s">
        <v>787</v>
      </c>
      <c r="O5" s="1121" t="str">
        <f>'2-Current Rate Level'!H5</f>
        <v/>
      </c>
    </row>
    <row r="6" spans="1:15" ht="15.75">
      <c r="A6" s="10"/>
      <c r="C6" s="418">
        <v>-1</v>
      </c>
      <c r="D6" s="418">
        <f>C6-1</f>
        <v>-2</v>
      </c>
    </row>
    <row r="7" spans="1:15">
      <c r="B7" s="1291" t="s">
        <v>34</v>
      </c>
      <c r="C7" s="1379"/>
      <c r="D7" s="1292"/>
      <c r="F7" s="1291" t="s">
        <v>598</v>
      </c>
      <c r="G7" s="1379"/>
      <c r="H7" s="1292"/>
    </row>
    <row r="8" spans="1:15" s="46" customFormat="1" ht="45">
      <c r="A8" s="225" t="s">
        <v>33</v>
      </c>
      <c r="B8" s="273" t="s">
        <v>474</v>
      </c>
      <c r="C8" s="273" t="s">
        <v>597</v>
      </c>
      <c r="D8" s="273" t="s">
        <v>596</v>
      </c>
      <c r="F8" s="273" t="str">
        <f>B8</f>
        <v>Calendar Quarter</v>
      </c>
      <c r="G8" s="274" t="s">
        <v>36</v>
      </c>
      <c r="H8" s="275" t="s">
        <v>544</v>
      </c>
    </row>
    <row r="9" spans="1:15">
      <c r="A9" s="13">
        <v>0.25</v>
      </c>
      <c r="B9" s="45" t="str">
        <f>'5A-Loss Trend'!C10</f>
        <v>_Q 20__</v>
      </c>
      <c r="C9" s="697"/>
      <c r="D9" s="698"/>
      <c r="F9" s="45" t="str">
        <f>B9</f>
        <v>_Q 20__</v>
      </c>
      <c r="G9" s="912">
        <f>IFERROR(D9/C9,0)</f>
        <v>0</v>
      </c>
      <c r="H9" s="341"/>
      <c r="J9" s="47"/>
    </row>
    <row r="10" spans="1:15">
      <c r="A10" s="13">
        <f>A9+0.25</f>
        <v>0.5</v>
      </c>
      <c r="B10" s="101" t="str">
        <f>'5A-Loss Trend'!C11</f>
        <v>_Q 20__</v>
      </c>
      <c r="C10" s="699"/>
      <c r="D10" s="700"/>
      <c r="F10" s="102" t="str">
        <f t="shared" ref="F10:F31" si="0">B10</f>
        <v>_Q 20__</v>
      </c>
      <c r="G10" s="910">
        <f t="shared" ref="G10:G32" si="1">IFERROR(D10/C10,0)</f>
        <v>0</v>
      </c>
      <c r="H10" s="342"/>
      <c r="J10" s="47"/>
    </row>
    <row r="11" spans="1:15">
      <c r="A11" s="13">
        <f t="shared" ref="A11:A32" si="2">A10+0.25</f>
        <v>0.75</v>
      </c>
      <c r="B11" s="45" t="str">
        <f>'5A-Loss Trend'!C12</f>
        <v>_Q 20__</v>
      </c>
      <c r="C11" s="701"/>
      <c r="D11" s="702"/>
      <c r="F11" s="44" t="str">
        <f t="shared" si="0"/>
        <v>_Q 20__</v>
      </c>
      <c r="G11" s="913">
        <f t="shared" si="1"/>
        <v>0</v>
      </c>
      <c r="H11" s="342"/>
      <c r="J11" s="47"/>
    </row>
    <row r="12" spans="1:15">
      <c r="A12" s="13">
        <f t="shared" si="2"/>
        <v>1</v>
      </c>
      <c r="B12" s="101" t="str">
        <f>'5A-Loss Trend'!C13</f>
        <v>_Q 20__</v>
      </c>
      <c r="C12" s="699"/>
      <c r="D12" s="700"/>
      <c r="F12" s="102" t="str">
        <f t="shared" si="0"/>
        <v>_Q 20__</v>
      </c>
      <c r="G12" s="910">
        <f t="shared" si="1"/>
        <v>0</v>
      </c>
      <c r="H12" s="908">
        <f>IFERROR(SUM(D9:D12)/SUM(C9:C12),0)</f>
        <v>0</v>
      </c>
      <c r="J12" s="47"/>
    </row>
    <row r="13" spans="1:15">
      <c r="A13" s="13">
        <f t="shared" si="2"/>
        <v>1.25</v>
      </c>
      <c r="B13" s="45" t="str">
        <f>'5A-Loss Trend'!C14</f>
        <v>_Q 20__</v>
      </c>
      <c r="C13" s="701"/>
      <c r="D13" s="702"/>
      <c r="F13" s="44" t="str">
        <f t="shared" si="0"/>
        <v>_Q 20__</v>
      </c>
      <c r="G13" s="913">
        <f t="shared" si="1"/>
        <v>0</v>
      </c>
      <c r="H13" s="914">
        <f>IFERROR(SUM(D10:D13)/SUM(C10:C13),0)</f>
        <v>0</v>
      </c>
      <c r="J13" s="47"/>
    </row>
    <row r="14" spans="1:15">
      <c r="A14" s="13">
        <f t="shared" si="2"/>
        <v>1.5</v>
      </c>
      <c r="B14" s="101" t="str">
        <f>'5A-Loss Trend'!C15</f>
        <v>_Q 20__</v>
      </c>
      <c r="C14" s="699"/>
      <c r="D14" s="700"/>
      <c r="F14" s="102" t="str">
        <f t="shared" si="0"/>
        <v>_Q 20__</v>
      </c>
      <c r="G14" s="910">
        <f t="shared" si="1"/>
        <v>0</v>
      </c>
      <c r="H14" s="908">
        <f t="shared" ref="H14:H32" si="3">IFERROR(SUM(D11:D14)/SUM(C11:C14),0)</f>
        <v>0</v>
      </c>
      <c r="J14" s="47"/>
    </row>
    <row r="15" spans="1:15">
      <c r="A15" s="13">
        <f t="shared" si="2"/>
        <v>1.75</v>
      </c>
      <c r="B15" s="45" t="str">
        <f>'5A-Loss Trend'!C16</f>
        <v>_Q 20__</v>
      </c>
      <c r="C15" s="701"/>
      <c r="D15" s="702"/>
      <c r="F15" s="44" t="str">
        <f t="shared" si="0"/>
        <v>_Q 20__</v>
      </c>
      <c r="G15" s="913">
        <f t="shared" si="1"/>
        <v>0</v>
      </c>
      <c r="H15" s="914">
        <f t="shared" si="3"/>
        <v>0</v>
      </c>
      <c r="J15" s="47"/>
    </row>
    <row r="16" spans="1:15">
      <c r="A16" s="13">
        <f t="shared" si="2"/>
        <v>2</v>
      </c>
      <c r="B16" s="101" t="str">
        <f>'5A-Loss Trend'!C17</f>
        <v>_Q 20__</v>
      </c>
      <c r="C16" s="699"/>
      <c r="D16" s="700"/>
      <c r="F16" s="102" t="str">
        <f t="shared" si="0"/>
        <v>_Q 20__</v>
      </c>
      <c r="G16" s="910">
        <f t="shared" si="1"/>
        <v>0</v>
      </c>
      <c r="H16" s="908">
        <f t="shared" si="3"/>
        <v>0</v>
      </c>
      <c r="J16" s="47"/>
    </row>
    <row r="17" spans="1:16">
      <c r="A17" s="13">
        <f t="shared" si="2"/>
        <v>2.25</v>
      </c>
      <c r="B17" s="45" t="str">
        <f>'5A-Loss Trend'!C18</f>
        <v>_Q 20__</v>
      </c>
      <c r="C17" s="701"/>
      <c r="D17" s="702"/>
      <c r="F17" s="44" t="str">
        <f t="shared" si="0"/>
        <v>_Q 20__</v>
      </c>
      <c r="G17" s="913">
        <f t="shared" si="1"/>
        <v>0</v>
      </c>
      <c r="H17" s="914">
        <f t="shared" si="3"/>
        <v>0</v>
      </c>
      <c r="J17" s="47"/>
    </row>
    <row r="18" spans="1:16">
      <c r="A18" s="13">
        <f t="shared" si="2"/>
        <v>2.5</v>
      </c>
      <c r="B18" s="101" t="str">
        <f>'5A-Loss Trend'!C19</f>
        <v>_Q 20__</v>
      </c>
      <c r="C18" s="699"/>
      <c r="D18" s="700"/>
      <c r="F18" s="102" t="str">
        <f t="shared" si="0"/>
        <v>_Q 20__</v>
      </c>
      <c r="G18" s="910">
        <f t="shared" si="1"/>
        <v>0</v>
      </c>
      <c r="H18" s="908">
        <f t="shared" si="3"/>
        <v>0</v>
      </c>
      <c r="J18" s="47"/>
    </row>
    <row r="19" spans="1:16">
      <c r="A19" s="13">
        <f t="shared" si="2"/>
        <v>2.75</v>
      </c>
      <c r="B19" s="45" t="str">
        <f>'5A-Loss Trend'!C20</f>
        <v>_Q 20__</v>
      </c>
      <c r="C19" s="701"/>
      <c r="D19" s="702"/>
      <c r="F19" s="44" t="str">
        <f t="shared" si="0"/>
        <v>_Q 20__</v>
      </c>
      <c r="G19" s="913">
        <f t="shared" si="1"/>
        <v>0</v>
      </c>
      <c r="H19" s="914">
        <f t="shared" si="3"/>
        <v>0</v>
      </c>
      <c r="J19" s="47"/>
    </row>
    <row r="20" spans="1:16">
      <c r="A20" s="13">
        <f t="shared" si="2"/>
        <v>3</v>
      </c>
      <c r="B20" s="101" t="str">
        <f>'5A-Loss Trend'!C21</f>
        <v>_Q 20__</v>
      </c>
      <c r="C20" s="699"/>
      <c r="D20" s="700"/>
      <c r="F20" s="102" t="str">
        <f t="shared" si="0"/>
        <v>_Q 20__</v>
      </c>
      <c r="G20" s="910">
        <f t="shared" si="1"/>
        <v>0</v>
      </c>
      <c r="H20" s="908">
        <f t="shared" si="3"/>
        <v>0</v>
      </c>
      <c r="J20" s="47"/>
    </row>
    <row r="21" spans="1:16">
      <c r="A21" s="13">
        <f t="shared" si="2"/>
        <v>3.25</v>
      </c>
      <c r="B21" s="45" t="str">
        <f>'5A-Loss Trend'!C22</f>
        <v>_Q 20__</v>
      </c>
      <c r="C21" s="701"/>
      <c r="D21" s="702"/>
      <c r="F21" s="44" t="str">
        <f t="shared" si="0"/>
        <v>_Q 20__</v>
      </c>
      <c r="G21" s="913">
        <f t="shared" si="1"/>
        <v>0</v>
      </c>
      <c r="H21" s="914">
        <f t="shared" si="3"/>
        <v>0</v>
      </c>
      <c r="J21" s="47"/>
    </row>
    <row r="22" spans="1:16">
      <c r="A22" s="13">
        <f t="shared" si="2"/>
        <v>3.5</v>
      </c>
      <c r="B22" s="101" t="str">
        <f>'5A-Loss Trend'!C23</f>
        <v>_Q 20__</v>
      </c>
      <c r="C22" s="699"/>
      <c r="D22" s="700"/>
      <c r="F22" s="102" t="str">
        <f t="shared" si="0"/>
        <v>_Q 20__</v>
      </c>
      <c r="G22" s="910">
        <f t="shared" si="1"/>
        <v>0</v>
      </c>
      <c r="H22" s="908">
        <f t="shared" si="3"/>
        <v>0</v>
      </c>
      <c r="J22" s="47"/>
    </row>
    <row r="23" spans="1:16">
      <c r="A23" s="13">
        <f t="shared" si="2"/>
        <v>3.75</v>
      </c>
      <c r="B23" s="45" t="str">
        <f>'5A-Loss Trend'!C24</f>
        <v>_Q 20__</v>
      </c>
      <c r="C23" s="701"/>
      <c r="D23" s="702"/>
      <c r="F23" s="44" t="str">
        <f t="shared" si="0"/>
        <v>_Q 20__</v>
      </c>
      <c r="G23" s="913">
        <f t="shared" si="1"/>
        <v>0</v>
      </c>
      <c r="H23" s="914">
        <f t="shared" si="3"/>
        <v>0</v>
      </c>
      <c r="J23" s="47"/>
    </row>
    <row r="24" spans="1:16">
      <c r="A24" s="13">
        <f t="shared" si="2"/>
        <v>4</v>
      </c>
      <c r="B24" s="101" t="str">
        <f>'5A-Loss Trend'!C25</f>
        <v>_Q 20__</v>
      </c>
      <c r="C24" s="699"/>
      <c r="D24" s="700"/>
      <c r="F24" s="102" t="str">
        <f t="shared" si="0"/>
        <v>_Q 20__</v>
      </c>
      <c r="G24" s="910">
        <f t="shared" si="1"/>
        <v>0</v>
      </c>
      <c r="H24" s="908">
        <f t="shared" si="3"/>
        <v>0</v>
      </c>
      <c r="J24" s="47"/>
    </row>
    <row r="25" spans="1:16">
      <c r="A25" s="13">
        <f t="shared" si="2"/>
        <v>4.25</v>
      </c>
      <c r="B25" s="45" t="str">
        <f>'5A-Loss Trend'!C26</f>
        <v>_Q 20__</v>
      </c>
      <c r="C25" s="701"/>
      <c r="D25" s="702"/>
      <c r="F25" s="44" t="str">
        <f t="shared" si="0"/>
        <v>_Q 20__</v>
      </c>
      <c r="G25" s="913">
        <f t="shared" si="1"/>
        <v>0</v>
      </c>
      <c r="H25" s="914">
        <f t="shared" si="3"/>
        <v>0</v>
      </c>
      <c r="I25" s="443"/>
    </row>
    <row r="26" spans="1:16">
      <c r="A26" s="13">
        <f t="shared" si="2"/>
        <v>4.5</v>
      </c>
      <c r="B26" s="101" t="str">
        <f>'5A-Loss Trend'!C27</f>
        <v>_Q 20__</v>
      </c>
      <c r="C26" s="699"/>
      <c r="D26" s="700"/>
      <c r="F26" s="102" t="str">
        <f t="shared" si="0"/>
        <v>_Q 20__</v>
      </c>
      <c r="G26" s="910">
        <f t="shared" si="1"/>
        <v>0</v>
      </c>
      <c r="H26" s="908">
        <f t="shared" si="3"/>
        <v>0</v>
      </c>
      <c r="I26" s="439"/>
      <c r="L26" s="1291" t="s">
        <v>16</v>
      </c>
      <c r="M26" s="1292"/>
    </row>
    <row r="27" spans="1:16" ht="14.45" customHeight="1">
      <c r="A27" s="13">
        <f t="shared" si="2"/>
        <v>4.75</v>
      </c>
      <c r="B27" s="45" t="str">
        <f>'5A-Loss Trend'!C28</f>
        <v>_Q 20__</v>
      </c>
      <c r="C27" s="701"/>
      <c r="D27" s="702"/>
      <c r="F27" s="44" t="str">
        <f t="shared" si="0"/>
        <v>_Q 20__</v>
      </c>
      <c r="G27" s="913">
        <f t="shared" si="1"/>
        <v>0</v>
      </c>
      <c r="H27" s="914">
        <f t="shared" si="3"/>
        <v>0</v>
      </c>
      <c r="I27" s="443"/>
      <c r="L27" s="125" t="s">
        <v>29</v>
      </c>
      <c r="M27" s="611">
        <f>IFERROR(LOGEST(H13:H32,$A13:$A32)-1,0)</f>
        <v>0</v>
      </c>
      <c r="N27" s="333"/>
      <c r="O27" s="333"/>
      <c r="P27" s="333"/>
    </row>
    <row r="28" spans="1:16">
      <c r="A28" s="13">
        <f t="shared" si="2"/>
        <v>5</v>
      </c>
      <c r="B28" s="101" t="str">
        <f>'5A-Loss Trend'!C29</f>
        <v>_Q 20__</v>
      </c>
      <c r="C28" s="699"/>
      <c r="D28" s="700"/>
      <c r="F28" s="102" t="str">
        <f t="shared" si="0"/>
        <v>_Q 20__</v>
      </c>
      <c r="G28" s="910">
        <f t="shared" si="1"/>
        <v>0</v>
      </c>
      <c r="H28" s="908">
        <f t="shared" si="3"/>
        <v>0</v>
      </c>
      <c r="J28" s="14"/>
      <c r="L28" s="74" t="s">
        <v>30</v>
      </c>
      <c r="M28" s="184">
        <f>IFERROR(LOGEST(H17:H32,$A17:$A32)-1,0)</f>
        <v>0</v>
      </c>
      <c r="N28" s="491"/>
      <c r="O28" s="491"/>
    </row>
    <row r="29" spans="1:16" ht="14.45" customHeight="1">
      <c r="A29" s="13">
        <f t="shared" si="2"/>
        <v>5.25</v>
      </c>
      <c r="B29" s="45" t="str">
        <f>'5A-Loss Trend'!C30</f>
        <v>_Q 20__</v>
      </c>
      <c r="C29" s="701"/>
      <c r="D29" s="702"/>
      <c r="F29" s="44" t="str">
        <f t="shared" si="0"/>
        <v>_Q 20__</v>
      </c>
      <c r="G29" s="913">
        <f t="shared" si="1"/>
        <v>0</v>
      </c>
      <c r="H29" s="914">
        <f t="shared" si="3"/>
        <v>0</v>
      </c>
      <c r="J29" s="14"/>
      <c r="L29" s="126" t="s">
        <v>31</v>
      </c>
      <c r="M29" s="183">
        <f>IFERROR(LOGEST(H21:H32,$A21:$A32)-1,0)</f>
        <v>0</v>
      </c>
      <c r="N29" s="490"/>
      <c r="O29" s="490"/>
    </row>
    <row r="30" spans="1:16">
      <c r="A30" s="13">
        <f t="shared" si="2"/>
        <v>5.5</v>
      </c>
      <c r="B30" s="101" t="str">
        <f>'5A-Loss Trend'!C31</f>
        <v>_Q 20__</v>
      </c>
      <c r="C30" s="699"/>
      <c r="D30" s="700"/>
      <c r="F30" s="102" t="str">
        <f t="shared" si="0"/>
        <v>_Q 20__</v>
      </c>
      <c r="G30" s="910">
        <f t="shared" si="1"/>
        <v>0</v>
      </c>
      <c r="H30" s="908">
        <f t="shared" si="3"/>
        <v>0</v>
      </c>
      <c r="L30" s="74" t="s">
        <v>32</v>
      </c>
      <c r="M30" s="184">
        <f>IFERROR(LOGEST(H25:H32,$A25:$A32)-1,0)</f>
        <v>0</v>
      </c>
    </row>
    <row r="31" spans="1:16">
      <c r="A31" s="13">
        <f t="shared" si="2"/>
        <v>5.75</v>
      </c>
      <c r="B31" s="44" t="str">
        <f>'5A-Loss Trend'!C32</f>
        <v>_Q 20__</v>
      </c>
      <c r="C31" s="703"/>
      <c r="D31" s="702"/>
      <c r="F31" s="44" t="str">
        <f t="shared" si="0"/>
        <v>_Q 20__</v>
      </c>
      <c r="G31" s="913">
        <f t="shared" si="1"/>
        <v>0</v>
      </c>
      <c r="H31" s="914">
        <f t="shared" si="3"/>
        <v>0</v>
      </c>
      <c r="L31" s="126" t="s">
        <v>50</v>
      </c>
      <c r="M31" s="183">
        <f>IFERROR(LOGEST(H27:H32,$A27:$A32)-1,0)</f>
        <v>0</v>
      </c>
    </row>
    <row r="32" spans="1:16" ht="14.45" customHeight="1">
      <c r="A32" s="13">
        <f t="shared" si="2"/>
        <v>6</v>
      </c>
      <c r="B32" s="168" t="str">
        <f>'5A-Loss Trend'!C33</f>
        <v>_Q 20__</v>
      </c>
      <c r="C32" s="704"/>
      <c r="D32" s="705"/>
      <c r="F32" s="168" t="str">
        <f t="shared" ref="F32" si="4">B32</f>
        <v>_Q 20__</v>
      </c>
      <c r="G32" s="911">
        <f t="shared" si="1"/>
        <v>0</v>
      </c>
      <c r="H32" s="909">
        <f t="shared" si="3"/>
        <v>0</v>
      </c>
      <c r="L32" s="556" t="s">
        <v>35</v>
      </c>
      <c r="M32" s="610">
        <f>IFERROR(LOGEST(H29:H32,$A29:$A32)-1,0)</f>
        <v>0</v>
      </c>
    </row>
    <row r="33" spans="1:13" ht="14.45" customHeight="1">
      <c r="A33" s="11"/>
      <c r="F33" s="16"/>
      <c r="G33" s="439"/>
      <c r="H33" s="439"/>
    </row>
    <row r="34" spans="1:13" ht="14.45" customHeight="1">
      <c r="A34" s="11"/>
      <c r="F34" s="16"/>
      <c r="G34" s="439"/>
      <c r="H34" s="439"/>
    </row>
    <row r="35" spans="1:13" ht="14.45" customHeight="1">
      <c r="A35" s="11"/>
      <c r="B35" s="1380" t="s">
        <v>848</v>
      </c>
      <c r="C35" s="1381"/>
      <c r="D35" s="1381"/>
      <c r="E35" s="1381"/>
      <c r="F35" s="1381"/>
      <c r="G35" s="1381"/>
      <c r="H35" s="1382"/>
    </row>
    <row r="36" spans="1:13" ht="14.45" customHeight="1">
      <c r="B36" s="1383"/>
      <c r="C36" s="1384"/>
      <c r="D36" s="1384"/>
      <c r="E36" s="1384"/>
      <c r="F36" s="1384"/>
      <c r="G36" s="1384"/>
      <c r="H36" s="1385"/>
      <c r="L36" s="1291" t="s">
        <v>17</v>
      </c>
      <c r="M36" s="1292"/>
    </row>
    <row r="37" spans="1:13" ht="14.45" customHeight="1">
      <c r="B37" s="1298"/>
      <c r="C37" s="1299"/>
      <c r="D37" s="1299"/>
      <c r="E37" s="1299"/>
      <c r="F37" s="1299"/>
      <c r="G37" s="1299"/>
      <c r="H37" s="1300"/>
      <c r="K37" s="1044">
        <v>-4</v>
      </c>
      <c r="L37" s="92" t="s">
        <v>18</v>
      </c>
      <c r="M37" s="706"/>
    </row>
    <row r="38" spans="1:13">
      <c r="B38" s="1298"/>
      <c r="C38" s="1299"/>
      <c r="D38" s="1299"/>
      <c r="E38" s="1299"/>
      <c r="F38" s="1299"/>
      <c r="G38" s="1299"/>
      <c r="H38" s="1300"/>
      <c r="K38" s="1045">
        <f>K37-1</f>
        <v>-5</v>
      </c>
      <c r="L38" s="38" t="s">
        <v>19</v>
      </c>
      <c r="M38" s="707"/>
    </row>
    <row r="39" spans="1:13">
      <c r="B39" s="1301"/>
      <c r="C39" s="1302"/>
      <c r="D39" s="1302"/>
      <c r="E39" s="1302"/>
      <c r="F39" s="1302"/>
      <c r="G39" s="1302"/>
      <c r="H39" s="1303"/>
    </row>
    <row r="40" spans="1:13">
      <c r="B40" s="478"/>
      <c r="C40" s="478"/>
      <c r="D40" s="478"/>
      <c r="E40" s="478"/>
    </row>
    <row r="41" spans="1:13">
      <c r="H41" s="15"/>
    </row>
  </sheetData>
  <sheetProtection sheet="1" objects="1" scenarios="1"/>
  <mergeCells count="6">
    <mergeCell ref="B7:D7"/>
    <mergeCell ref="F7:H7"/>
    <mergeCell ref="L26:M26"/>
    <mergeCell ref="L36:M36"/>
    <mergeCell ref="B37:H39"/>
    <mergeCell ref="B35:H36"/>
  </mergeCells>
  <conditionalFormatting sqref="L37:M38 C9:D32">
    <cfRule type="expression" dxfId="93" priority="7">
      <formula>C9=""</formula>
    </cfRule>
  </conditionalFormatting>
  <conditionalFormatting sqref="B37">
    <cfRule type="expression" dxfId="92" priority="2">
      <formula>$B$37=""</formula>
    </cfRule>
  </conditionalFormatting>
  <printOptions horizontalCentered="1"/>
  <pageMargins left="0.5" right="0.5" top="0.5" bottom="0.5" header="0.3" footer="0.3"/>
  <pageSetup scale="77" orientation="landscape" r:id="rId1"/>
  <headerFooter>
    <oddFooter>&amp;LRevised 3/2013&amp;RPage &amp;P of &amp;N</oddFooter>
  </headerFooter>
  <ignoredErrors>
    <ignoredError sqref="H12:H13 H14:H32" formulaRange="1"/>
  </ignoredErrors>
  <drawing r:id="rId2"/>
</worksheet>
</file>

<file path=xl/worksheets/sheet12.xml><?xml version="1.0" encoding="utf-8"?>
<worksheet xmlns="http://schemas.openxmlformats.org/spreadsheetml/2006/main" xmlns:r="http://schemas.openxmlformats.org/officeDocument/2006/relationships">
  <sheetPr codeName="Sheet5">
    <pageSetUpPr fitToPage="1"/>
  </sheetPr>
  <dimension ref="A1:G47"/>
  <sheetViews>
    <sheetView showGridLines="0" workbookViewId="0">
      <pane ySplit="5" topLeftCell="A6" activePane="bottomLeft" state="frozen"/>
      <selection pane="bottomLeft"/>
    </sheetView>
  </sheetViews>
  <sheetFormatPr defaultColWidth="8.85546875" defaultRowHeight="15"/>
  <cols>
    <col min="1" max="1" width="3.140625" style="129" bestFit="1" customWidth="1"/>
    <col min="2" max="7" width="14.140625" style="129" customWidth="1"/>
    <col min="8" max="16384" width="8.85546875" style="129"/>
  </cols>
  <sheetData>
    <row r="1" spans="1:7" ht="17.25">
      <c r="B1" s="9" t="str">
        <f>'5A-Loss Trend'!C1</f>
        <v>Texas Department of Insurance</v>
      </c>
      <c r="G1" s="190" t="str">
        <f xml:space="preserve"> "Home - "&amp;MID(B4,9,2)</f>
        <v>Home - 3B</v>
      </c>
    </row>
    <row r="2" spans="1:7" ht="17.25">
      <c r="B2" s="9" t="str">
        <f>'5A-Loss Trend'!C2</f>
        <v>Property and Casualty Rate Filing Exhibits</v>
      </c>
    </row>
    <row r="4" spans="1:7" ht="15.75">
      <c r="B4" s="165" t="s">
        <v>549</v>
      </c>
      <c r="C4" s="189"/>
      <c r="F4" s="1120" t="s">
        <v>140</v>
      </c>
      <c r="G4" s="1121" t="str">
        <f>'3A-Premium Trend'!O4</f>
        <v/>
      </c>
    </row>
    <row r="5" spans="1:7">
      <c r="F5" s="1120" t="s">
        <v>787</v>
      </c>
      <c r="G5" s="1121" t="str">
        <f>'3A-Premium Trend'!O5</f>
        <v/>
      </c>
    </row>
    <row r="6" spans="1:7">
      <c r="F6" s="330"/>
      <c r="G6" s="332"/>
    </row>
    <row r="8" spans="1:7">
      <c r="B8" s="1368" t="s">
        <v>57</v>
      </c>
      <c r="C8" s="1369"/>
    </row>
    <row r="9" spans="1:7">
      <c r="A9" s="150">
        <v>-1</v>
      </c>
      <c r="B9" s="134" t="s">
        <v>18</v>
      </c>
      <c r="C9" s="1042">
        <f>'3A-Premium Trend'!M37</f>
        <v>0</v>
      </c>
    </row>
    <row r="10" spans="1:7">
      <c r="A10" s="150">
        <v>-2</v>
      </c>
      <c r="B10" s="135" t="s">
        <v>19</v>
      </c>
      <c r="C10" s="1043">
        <f>'3A-Premium Trend'!M38</f>
        <v>0</v>
      </c>
    </row>
    <row r="11" spans="1:7">
      <c r="B11" s="147"/>
      <c r="C11" s="148"/>
      <c r="D11" s="149"/>
    </row>
    <row r="13" spans="1:7">
      <c r="B13" s="137">
        <f>A10-1</f>
        <v>-3</v>
      </c>
      <c r="C13" s="138">
        <f>B13-1</f>
        <v>-4</v>
      </c>
      <c r="D13" s="138">
        <f>C13-1</f>
        <v>-5</v>
      </c>
      <c r="E13" s="138">
        <f t="shared" ref="E13:G13" si="0">D13-1</f>
        <v>-6</v>
      </c>
      <c r="F13" s="138">
        <f t="shared" si="0"/>
        <v>-7</v>
      </c>
      <c r="G13" s="138">
        <f t="shared" si="0"/>
        <v>-8</v>
      </c>
    </row>
    <row r="14" spans="1:7" ht="45">
      <c r="B14" s="145" t="str">
        <f>'1-Indication'!A9</f>
        <v>Accident Year Ending</v>
      </c>
      <c r="C14" s="145" t="s">
        <v>51</v>
      </c>
      <c r="D14" s="145" t="s">
        <v>58</v>
      </c>
      <c r="E14" s="145" t="s">
        <v>53</v>
      </c>
      <c r="F14" s="145" t="s">
        <v>59</v>
      </c>
      <c r="G14" s="145" t="s">
        <v>0</v>
      </c>
    </row>
    <row r="15" spans="1:7">
      <c r="B15" s="130" t="str">
        <f>'1-Indication'!A10</f>
        <v>__ /__ /20__</v>
      </c>
      <c r="C15" s="139">
        <f>'5B-Loss Trend'!C15</f>
        <v>4</v>
      </c>
      <c r="D15" s="131">
        <f>(1+$C$9)^C15</f>
        <v>1</v>
      </c>
      <c r="E15" s="140">
        <f>'5B-Loss Trend'!E15</f>
        <v>1.5</v>
      </c>
      <c r="F15" s="131">
        <f>(1+$C$10)^E15</f>
        <v>1</v>
      </c>
      <c r="G15" s="523">
        <f>D15*F15</f>
        <v>1</v>
      </c>
    </row>
    <row r="16" spans="1:7">
      <c r="B16" s="169" t="str">
        <f>'1-Indication'!A11</f>
        <v>__ /__ /20__</v>
      </c>
      <c r="C16" s="170">
        <f>'5B-Loss Trend'!C16</f>
        <v>3</v>
      </c>
      <c r="D16" s="132">
        <f t="shared" ref="D16:D18" si="1">(1+$C$9)^C16</f>
        <v>1</v>
      </c>
      <c r="E16" s="171">
        <f>'5B-Loss Trend'!E16</f>
        <v>1.5</v>
      </c>
      <c r="F16" s="132">
        <f t="shared" ref="F16:F19" si="2">(1+$C$10)^E16</f>
        <v>1</v>
      </c>
      <c r="G16" s="524">
        <f t="shared" ref="G16:G19" si="3">D16*F16</f>
        <v>1</v>
      </c>
    </row>
    <row r="17" spans="1:7">
      <c r="B17" s="141" t="str">
        <f>'1-Indication'!A12</f>
        <v>__ /__ /20__</v>
      </c>
      <c r="C17" s="139">
        <f>'5B-Loss Trend'!C17</f>
        <v>2</v>
      </c>
      <c r="D17" s="131">
        <f t="shared" si="1"/>
        <v>1</v>
      </c>
      <c r="E17" s="140">
        <f>'5B-Loss Trend'!E17</f>
        <v>1.5</v>
      </c>
      <c r="F17" s="131">
        <f t="shared" si="2"/>
        <v>1</v>
      </c>
      <c r="G17" s="525">
        <f t="shared" si="3"/>
        <v>1</v>
      </c>
    </row>
    <row r="18" spans="1:7">
      <c r="B18" s="169" t="str">
        <f>'1-Indication'!A13</f>
        <v>__ /__ /20__</v>
      </c>
      <c r="C18" s="170">
        <f>'5B-Loss Trend'!C18</f>
        <v>1</v>
      </c>
      <c r="D18" s="132">
        <f t="shared" si="1"/>
        <v>1</v>
      </c>
      <c r="E18" s="171">
        <f>'5B-Loss Trend'!E18</f>
        <v>1.5</v>
      </c>
      <c r="F18" s="132">
        <f t="shared" si="2"/>
        <v>1</v>
      </c>
      <c r="G18" s="524">
        <f>D18*F18</f>
        <v>1</v>
      </c>
    </row>
    <row r="19" spans="1:7">
      <c r="B19" s="143" t="str">
        <f>'1-Indication'!A14</f>
        <v>__ /__ /20__</v>
      </c>
      <c r="C19" s="144">
        <f>'5B-Loss Trend'!C19</f>
        <v>0</v>
      </c>
      <c r="D19" s="133">
        <f>(1+$C$9)^C19</f>
        <v>1</v>
      </c>
      <c r="E19" s="151">
        <f>'5B-Loss Trend'!E19</f>
        <v>1.5</v>
      </c>
      <c r="F19" s="133">
        <f t="shared" si="2"/>
        <v>1</v>
      </c>
      <c r="G19" s="526">
        <f t="shared" si="3"/>
        <v>1</v>
      </c>
    </row>
    <row r="22" spans="1:7">
      <c r="A22" s="1101">
        <f>G13-1</f>
        <v>-9</v>
      </c>
      <c r="B22" s="1386" t="s">
        <v>793</v>
      </c>
      <c r="C22" s="1387"/>
      <c r="D22" s="1387"/>
      <c r="E22" s="1387"/>
      <c r="F22" s="1387"/>
      <c r="G22" s="1388"/>
    </row>
    <row r="23" spans="1:7">
      <c r="B23" s="1389"/>
      <c r="C23" s="1390"/>
      <c r="D23" s="1390"/>
      <c r="E23" s="1390"/>
      <c r="F23" s="1390"/>
      <c r="G23" s="1391"/>
    </row>
    <row r="24" spans="1:7">
      <c r="B24" s="1392"/>
      <c r="C24" s="1393"/>
      <c r="D24" s="1393"/>
      <c r="E24" s="1393"/>
      <c r="F24" s="1393"/>
      <c r="G24" s="1394"/>
    </row>
    <row r="25" spans="1:7">
      <c r="B25" s="1362"/>
      <c r="C25" s="1363"/>
      <c r="D25" s="1363"/>
      <c r="E25" s="1363"/>
      <c r="F25" s="1363"/>
      <c r="G25" s="1364"/>
    </row>
    <row r="26" spans="1:7">
      <c r="B26" s="1298"/>
      <c r="C26" s="1299"/>
      <c r="D26" s="1299"/>
      <c r="E26" s="1299"/>
      <c r="F26" s="1299"/>
      <c r="G26" s="1300"/>
    </row>
    <row r="27" spans="1:7">
      <c r="B27" s="1298"/>
      <c r="C27" s="1299"/>
      <c r="D27" s="1299"/>
      <c r="E27" s="1299"/>
      <c r="F27" s="1299"/>
      <c r="G27" s="1300"/>
    </row>
    <row r="28" spans="1:7">
      <c r="B28" s="1298"/>
      <c r="C28" s="1299"/>
      <c r="D28" s="1299"/>
      <c r="E28" s="1299"/>
      <c r="F28" s="1299"/>
      <c r="G28" s="1300"/>
    </row>
    <row r="29" spans="1:7">
      <c r="B29" s="1298"/>
      <c r="C29" s="1299"/>
      <c r="D29" s="1299"/>
      <c r="E29" s="1299"/>
      <c r="F29" s="1299"/>
      <c r="G29" s="1300"/>
    </row>
    <row r="30" spans="1:7">
      <c r="B30" s="1298"/>
      <c r="C30" s="1299"/>
      <c r="D30" s="1299"/>
      <c r="E30" s="1299"/>
      <c r="F30" s="1299"/>
      <c r="G30" s="1300"/>
    </row>
    <row r="31" spans="1:7">
      <c r="B31" s="1298"/>
      <c r="C31" s="1299"/>
      <c r="D31" s="1299"/>
      <c r="E31" s="1299"/>
      <c r="F31" s="1299"/>
      <c r="G31" s="1300"/>
    </row>
    <row r="32" spans="1:7">
      <c r="B32" s="1298"/>
      <c r="C32" s="1299"/>
      <c r="D32" s="1299"/>
      <c r="E32" s="1299"/>
      <c r="F32" s="1299"/>
      <c r="G32" s="1300"/>
    </row>
    <row r="33" spans="1:7">
      <c r="B33" s="1298"/>
      <c r="C33" s="1299"/>
      <c r="D33" s="1299"/>
      <c r="E33" s="1299"/>
      <c r="F33" s="1299"/>
      <c r="G33" s="1300"/>
    </row>
    <row r="34" spans="1:7">
      <c r="B34" s="1298"/>
      <c r="C34" s="1299"/>
      <c r="D34" s="1299"/>
      <c r="E34" s="1299"/>
      <c r="F34" s="1299"/>
      <c r="G34" s="1300"/>
    </row>
    <row r="35" spans="1:7">
      <c r="B35" s="1298"/>
      <c r="C35" s="1299"/>
      <c r="D35" s="1299"/>
      <c r="E35" s="1299"/>
      <c r="F35" s="1299"/>
      <c r="G35" s="1300"/>
    </row>
    <row r="36" spans="1:7">
      <c r="B36" s="1298"/>
      <c r="C36" s="1299"/>
      <c r="D36" s="1299"/>
      <c r="E36" s="1299"/>
      <c r="F36" s="1299"/>
      <c r="G36" s="1300"/>
    </row>
    <row r="37" spans="1:7">
      <c r="B37" s="1298"/>
      <c r="C37" s="1299"/>
      <c r="D37" s="1299"/>
      <c r="E37" s="1299"/>
      <c r="F37" s="1299"/>
      <c r="G37" s="1300"/>
    </row>
    <row r="38" spans="1:7">
      <c r="B38" s="1301"/>
      <c r="C38" s="1302"/>
      <c r="D38" s="1302"/>
      <c r="E38" s="1302"/>
      <c r="F38" s="1302"/>
      <c r="G38" s="1303"/>
    </row>
    <row r="40" spans="1:7" ht="12" customHeight="1">
      <c r="A40" s="447" t="s">
        <v>158</v>
      </c>
      <c r="B40" s="204"/>
    </row>
    <row r="41" spans="1:7" ht="12" customHeight="1">
      <c r="A41" s="448">
        <f>A9</f>
        <v>-1</v>
      </c>
      <c r="B41" s="204" t="s">
        <v>694</v>
      </c>
    </row>
    <row r="42" spans="1:7" ht="12" customHeight="1">
      <c r="A42" s="448">
        <f>A10</f>
        <v>-2</v>
      </c>
      <c r="B42" s="204" t="s">
        <v>694</v>
      </c>
    </row>
    <row r="43" spans="1:7" ht="12" customHeight="1">
      <c r="A43" s="448">
        <f>C13</f>
        <v>-4</v>
      </c>
      <c r="B43" s="452" t="s">
        <v>909</v>
      </c>
    </row>
    <row r="44" spans="1:7" ht="14.65" customHeight="1">
      <c r="A44" s="448">
        <f>A43-1</f>
        <v>-5</v>
      </c>
      <c r="B44" s="449" t="s">
        <v>911</v>
      </c>
    </row>
    <row r="45" spans="1:7" ht="12" customHeight="1">
      <c r="A45" s="448">
        <f t="shared" ref="A45:A47" si="4">A44-1</f>
        <v>-6</v>
      </c>
      <c r="B45" s="452" t="s">
        <v>910</v>
      </c>
    </row>
    <row r="46" spans="1:7" ht="14.65" customHeight="1">
      <c r="A46" s="448">
        <f t="shared" si="4"/>
        <v>-7</v>
      </c>
      <c r="B46" s="449" t="s">
        <v>912</v>
      </c>
    </row>
    <row r="47" spans="1:7" ht="12" customHeight="1">
      <c r="A47" s="448">
        <f t="shared" si="4"/>
        <v>-8</v>
      </c>
      <c r="B47" s="449" t="s">
        <v>56</v>
      </c>
    </row>
  </sheetData>
  <sheetProtection sheet="1" objects="1" scenarios="1"/>
  <mergeCells count="3">
    <mergeCell ref="B8:C8"/>
    <mergeCell ref="B22:G24"/>
    <mergeCell ref="B25:G38"/>
  </mergeCells>
  <conditionalFormatting sqref="B25">
    <cfRule type="expression" dxfId="91" priority="1">
      <formula>$B$25=""</formula>
    </cfRule>
  </conditionalFormatting>
  <printOptions horizontalCentered="1"/>
  <pageMargins left="0.5" right="0.5" top="0.5" bottom="0.5" header="0.3" footer="0.3"/>
  <pageSetup orientation="portrait" r:id="rId1"/>
  <headerFooter>
    <oddFooter>&amp;LRevised 3/2013&amp;RPage &amp;P of &amp;N</oddFooter>
  </headerFooter>
</worksheet>
</file>

<file path=xl/worksheets/sheet13.xml><?xml version="1.0" encoding="utf-8"?>
<worksheet xmlns="http://schemas.openxmlformats.org/spreadsheetml/2006/main" xmlns:r="http://schemas.openxmlformats.org/officeDocument/2006/relationships">
  <sheetPr codeName="Sheet6"/>
  <dimension ref="A1:N76"/>
  <sheetViews>
    <sheetView showGridLines="0" workbookViewId="0">
      <pane ySplit="5" topLeftCell="A6" activePane="bottomLeft" state="frozen"/>
      <selection pane="bottomLeft"/>
    </sheetView>
  </sheetViews>
  <sheetFormatPr defaultColWidth="8.85546875" defaultRowHeight="15"/>
  <cols>
    <col min="1" max="1" width="14.5703125" style="6" customWidth="1"/>
    <col min="2" max="11" width="10.7109375" style="6" customWidth="1"/>
    <col min="12" max="12" width="8.85546875" style="6"/>
    <col min="13" max="13" width="8.85546875" style="6" hidden="1" customWidth="1"/>
    <col min="14" max="14" width="8.85546875" style="6" customWidth="1"/>
    <col min="15" max="16384" width="8.85546875" style="6"/>
  </cols>
  <sheetData>
    <row r="1" spans="1:14" ht="17.25">
      <c r="A1" s="9" t="str">
        <f>'3A-Premium Trend'!B1</f>
        <v>Texas Department of Insurance</v>
      </c>
      <c r="K1" s="190" t="str">
        <f xml:space="preserve"> "Home - "&amp;MID(A4,9,1)</f>
        <v>Home - 4</v>
      </c>
    </row>
    <row r="2" spans="1:14" ht="17.25">
      <c r="A2" s="9" t="str">
        <f>'3A-Premium Trend'!B2</f>
        <v>Property and Casualty Rate Filing Exhibits</v>
      </c>
    </row>
    <row r="3" spans="1:14">
      <c r="A3" s="8"/>
      <c r="M3" s="8" t="s">
        <v>487</v>
      </c>
    </row>
    <row r="4" spans="1:14" ht="15.75">
      <c r="A4" s="165" t="s">
        <v>483</v>
      </c>
      <c r="B4" s="160"/>
      <c r="C4" s="189"/>
      <c r="I4" s="330" t="s">
        <v>140</v>
      </c>
      <c r="J4" s="1395" t="str">
        <f>'3B-Premium Trend'!G4</f>
        <v/>
      </c>
      <c r="K4" s="1395"/>
      <c r="M4" s="8" t="str">
        <f>'General Information'!B13</f>
        <v>Select</v>
      </c>
    </row>
    <row r="5" spans="1:14">
      <c r="A5" s="8"/>
      <c r="I5" s="330" t="s">
        <v>787</v>
      </c>
      <c r="J5" s="1395" t="str">
        <f>'3B-Premium Trend'!G5</f>
        <v/>
      </c>
      <c r="K5" s="1395"/>
    </row>
    <row r="6" spans="1:14" ht="15.75">
      <c r="A6" s="957" t="str">
        <f>IF(M4="Calendar Year Losses","NOTE: Losses do not need to be developed if rate indication is performed on calendar year losses.","")</f>
        <v/>
      </c>
      <c r="I6" s="330"/>
      <c r="J6" s="332"/>
    </row>
    <row r="7" spans="1:14">
      <c r="A7" s="1419" t="s">
        <v>518</v>
      </c>
      <c r="B7" s="1419"/>
      <c r="C7" s="1419"/>
      <c r="D7" s="1179"/>
      <c r="E7" s="427" t="s">
        <v>631</v>
      </c>
      <c r="G7" s="8"/>
      <c r="N7" s="708"/>
    </row>
    <row r="8" spans="1:14">
      <c r="M8" s="708" t="s">
        <v>629</v>
      </c>
    </row>
    <row r="9" spans="1:14">
      <c r="B9" s="1291" t="str">
        <f>IF('General Information'!B15='General Information'!G17,TEXT(D7,"")&amp;" Losses as of",TEXT(D7,"")&amp;" Losses &amp; DCCE as of")</f>
        <v xml:space="preserve"> Losses &amp; DCCE as of</v>
      </c>
      <c r="C9" s="1379"/>
      <c r="D9" s="1379"/>
      <c r="E9" s="1379"/>
      <c r="F9" s="1379"/>
      <c r="G9" s="1379"/>
      <c r="H9" s="1379"/>
      <c r="I9" s="1379"/>
      <c r="J9" s="1379"/>
      <c r="K9" s="1292"/>
      <c r="M9" s="708" t="s">
        <v>630</v>
      </c>
    </row>
    <row r="10" spans="1:14">
      <c r="A10" s="1428" t="str">
        <f>TEXT("AY Ending
","") &amp; IF('General Information'!B17="","__ ",TEXT(MONTH('General Information'!B17),"#")) &amp; TEXT("/","") &amp; IF('General Information'!B17="","__ ",TEXT(DAY('General Information'!B17),"#"))</f>
        <v xml:space="preserve">AY Ending
__ /__ </v>
      </c>
      <c r="B10" s="1430" t="s">
        <v>37</v>
      </c>
      <c r="C10" s="1431"/>
      <c r="D10" s="1431"/>
      <c r="E10" s="1431"/>
      <c r="F10" s="1431"/>
      <c r="G10" s="1431"/>
      <c r="H10" s="1431"/>
      <c r="I10" s="1431"/>
      <c r="J10" s="1431"/>
      <c r="K10" s="1432"/>
    </row>
    <row r="11" spans="1:14">
      <c r="A11" s="1429"/>
      <c r="B11" s="536" t="str">
        <f>IF('General Information'!B18="","__",12+ROUND(('General Information'!B18-'General Information'!B17)/30,0))</f>
        <v>__</v>
      </c>
      <c r="C11" s="537" t="str">
        <f>IF('General Information'!B18="","__",B11+12)</f>
        <v>__</v>
      </c>
      <c r="D11" s="538" t="str">
        <f>IF('General Information'!B18="","__",C11+12)</f>
        <v>__</v>
      </c>
      <c r="E11" s="538" t="str">
        <f>IF('General Information'!B18="","__",D11+12)</f>
        <v>__</v>
      </c>
      <c r="F11" s="538" t="str">
        <f>IF('General Information'!B18="","__",E11+12)</f>
        <v>__</v>
      </c>
      <c r="G11" s="538" t="str">
        <f>IF('General Information'!B18="","__",F11+12)</f>
        <v>__</v>
      </c>
      <c r="H11" s="538" t="str">
        <f>IF('General Information'!B18="","__",G11+12)</f>
        <v>__</v>
      </c>
      <c r="I11" s="538" t="str">
        <f>IF('General Information'!B18="","__",H11+12)</f>
        <v>__</v>
      </c>
      <c r="J11" s="538" t="str">
        <f>IF('General Information'!B18="","__",I11+12)</f>
        <v>__</v>
      </c>
      <c r="K11" s="539" t="str">
        <f>IF('General Information'!B18="","__",J11+12)</f>
        <v>__</v>
      </c>
    </row>
    <row r="12" spans="1:14">
      <c r="A12" s="1016" t="str">
        <f>IF('General Information'!$B$17="","20__",A13-1)</f>
        <v>20__</v>
      </c>
      <c r="B12" s="709"/>
      <c r="C12" s="710"/>
      <c r="D12" s="710"/>
      <c r="E12" s="710"/>
      <c r="F12" s="709"/>
      <c r="G12" s="710"/>
      <c r="H12" s="709"/>
      <c r="I12" s="710"/>
      <c r="J12" s="709"/>
      <c r="K12" s="711"/>
    </row>
    <row r="13" spans="1:14">
      <c r="A13" s="1017" t="str">
        <f>IF('General Information'!$B$17="","20__",A14-1)</f>
        <v>20__</v>
      </c>
      <c r="B13" s="712"/>
      <c r="C13" s="713"/>
      <c r="D13" s="713"/>
      <c r="E13" s="713"/>
      <c r="F13" s="713"/>
      <c r="G13" s="713"/>
      <c r="H13" s="713"/>
      <c r="I13" s="713"/>
      <c r="J13" s="713"/>
      <c r="K13" s="714"/>
    </row>
    <row r="14" spans="1:14">
      <c r="A14" s="1016" t="str">
        <f>IF('General Information'!$B$17="","20__",A15-1)</f>
        <v>20__</v>
      </c>
      <c r="B14" s="715"/>
      <c r="C14" s="716"/>
      <c r="D14" s="716"/>
      <c r="E14" s="716"/>
      <c r="F14" s="716"/>
      <c r="G14" s="716"/>
      <c r="H14" s="716"/>
      <c r="I14" s="716"/>
      <c r="J14" s="717"/>
      <c r="K14" s="714"/>
    </row>
    <row r="15" spans="1:14">
      <c r="A15" s="1017" t="str">
        <f>IF('General Information'!$B$17="","20__",A16-1)</f>
        <v>20__</v>
      </c>
      <c r="B15" s="712"/>
      <c r="C15" s="713"/>
      <c r="D15" s="713"/>
      <c r="E15" s="713"/>
      <c r="F15" s="713"/>
      <c r="G15" s="713"/>
      <c r="H15" s="713"/>
      <c r="I15" s="717"/>
      <c r="J15" s="717"/>
      <c r="K15" s="714"/>
    </row>
    <row r="16" spans="1:14">
      <c r="A16" s="1016" t="str">
        <f>IF('General Information'!$B$17="","20__",A17-1)</f>
        <v>20__</v>
      </c>
      <c r="B16" s="715"/>
      <c r="C16" s="716"/>
      <c r="D16" s="716"/>
      <c r="E16" s="716"/>
      <c r="F16" s="716"/>
      <c r="G16" s="716"/>
      <c r="H16" s="717"/>
      <c r="I16" s="717"/>
      <c r="J16" s="717"/>
      <c r="K16" s="714"/>
    </row>
    <row r="17" spans="1:11">
      <c r="A17" s="1017" t="str">
        <f>IF('General Information'!$B$17="","20__",A18-1)</f>
        <v>20__</v>
      </c>
      <c r="B17" s="712"/>
      <c r="C17" s="713"/>
      <c r="D17" s="713"/>
      <c r="E17" s="713"/>
      <c r="F17" s="713"/>
      <c r="G17" s="717"/>
      <c r="H17" s="717"/>
      <c r="I17" s="717"/>
      <c r="J17" s="717"/>
      <c r="K17" s="714"/>
    </row>
    <row r="18" spans="1:11">
      <c r="A18" s="1016" t="str">
        <f>IF('General Information'!$B$17="","20__",A19-1)</f>
        <v>20__</v>
      </c>
      <c r="B18" s="715"/>
      <c r="C18" s="716"/>
      <c r="D18" s="716"/>
      <c r="E18" s="716"/>
      <c r="F18" s="717"/>
      <c r="G18" s="717"/>
      <c r="H18" s="717"/>
      <c r="I18" s="717"/>
      <c r="J18" s="717"/>
      <c r="K18" s="714"/>
    </row>
    <row r="19" spans="1:11">
      <c r="A19" s="1017" t="str">
        <f>IF('General Information'!$B$17="","20__",A20-1)</f>
        <v>20__</v>
      </c>
      <c r="B19" s="712"/>
      <c r="C19" s="713"/>
      <c r="D19" s="713"/>
      <c r="E19" s="717"/>
      <c r="F19" s="717"/>
      <c r="G19" s="717"/>
      <c r="H19" s="717"/>
      <c r="I19" s="717"/>
      <c r="J19" s="717"/>
      <c r="K19" s="714"/>
    </row>
    <row r="20" spans="1:11">
      <c r="A20" s="1016" t="str">
        <f>IF('General Information'!$B$17="","20__",A21-1)</f>
        <v>20__</v>
      </c>
      <c r="B20" s="715"/>
      <c r="C20" s="716"/>
      <c r="D20" s="717"/>
      <c r="E20" s="717"/>
      <c r="F20" s="717"/>
      <c r="G20" s="717"/>
      <c r="H20" s="717"/>
      <c r="I20" s="717"/>
      <c r="J20" s="717"/>
      <c r="K20" s="714"/>
    </row>
    <row r="21" spans="1:11">
      <c r="A21" s="1018" t="str">
        <f>IF('General Information'!B17="","20__",YEAR('General Information'!B17))</f>
        <v>20__</v>
      </c>
      <c r="B21" s="718"/>
      <c r="C21" s="719"/>
      <c r="D21" s="719"/>
      <c r="E21" s="719"/>
      <c r="F21" s="719"/>
      <c r="G21" s="719"/>
      <c r="H21" s="719"/>
      <c r="I21" s="719"/>
      <c r="J21" s="719"/>
      <c r="K21" s="720"/>
    </row>
    <row r="23" spans="1:11" ht="14.45" customHeight="1">
      <c r="A23" s="1411" t="s">
        <v>849</v>
      </c>
      <c r="B23" s="1412"/>
      <c r="C23" s="1412"/>
      <c r="D23" s="1412"/>
      <c r="E23" s="1412"/>
      <c r="F23" s="1412"/>
      <c r="G23" s="1412"/>
      <c r="H23" s="1412"/>
      <c r="I23" s="1412"/>
      <c r="J23" s="1412"/>
      <c r="K23" s="1413"/>
    </row>
    <row r="24" spans="1:11">
      <c r="A24" s="1414"/>
      <c r="B24" s="1415"/>
      <c r="C24" s="1415"/>
      <c r="D24" s="1415"/>
      <c r="E24" s="1415"/>
      <c r="F24" s="1415"/>
      <c r="G24" s="1415"/>
      <c r="H24" s="1415"/>
      <c r="I24" s="1415"/>
      <c r="J24" s="1415"/>
      <c r="K24" s="1416"/>
    </row>
    <row r="25" spans="1:11">
      <c r="A25" s="1422"/>
      <c r="B25" s="1423"/>
      <c r="C25" s="1423"/>
      <c r="D25" s="1423"/>
      <c r="E25" s="1423"/>
      <c r="F25" s="1423"/>
      <c r="G25" s="1423"/>
      <c r="H25" s="1423"/>
      <c r="I25" s="1423"/>
      <c r="J25" s="1423"/>
      <c r="K25" s="1424"/>
    </row>
    <row r="26" spans="1:11">
      <c r="A26" s="1425"/>
      <c r="B26" s="1426"/>
      <c r="C26" s="1426"/>
      <c r="D26" s="1426"/>
      <c r="E26" s="1426"/>
      <c r="F26" s="1426"/>
      <c r="G26" s="1426"/>
      <c r="H26" s="1426"/>
      <c r="I26" s="1426"/>
      <c r="J26" s="1426"/>
      <c r="K26" s="1427"/>
    </row>
    <row r="27" spans="1:11">
      <c r="A27" s="527"/>
      <c r="B27" s="349"/>
      <c r="C27" s="349"/>
      <c r="D27" s="349"/>
      <c r="E27" s="349"/>
      <c r="F27" s="349"/>
      <c r="G27" s="349"/>
      <c r="H27" s="349"/>
      <c r="I27" s="349"/>
      <c r="J27" s="349"/>
      <c r="K27" s="528"/>
    </row>
    <row r="28" spans="1:11">
      <c r="B28" s="14"/>
      <c r="C28" s="1291" t="s">
        <v>61</v>
      </c>
      <c r="D28" s="1379"/>
      <c r="E28" s="1379"/>
      <c r="F28" s="1379"/>
      <c r="G28" s="1379"/>
      <c r="H28" s="1379"/>
      <c r="I28" s="1379"/>
      <c r="J28" s="1379"/>
      <c r="K28" s="1292"/>
    </row>
    <row r="29" spans="1:11">
      <c r="A29" s="1433" t="str">
        <f>A10</f>
        <v xml:space="preserve">AY Ending
__ /__ </v>
      </c>
      <c r="B29" s="1434"/>
      <c r="C29" s="1431" t="s">
        <v>38</v>
      </c>
      <c r="D29" s="1431"/>
      <c r="E29" s="1431"/>
      <c r="F29" s="1431"/>
      <c r="G29" s="1431"/>
      <c r="H29" s="1431"/>
      <c r="I29" s="1431"/>
      <c r="J29" s="1431"/>
      <c r="K29" s="1432"/>
    </row>
    <row r="30" spans="1:11" ht="14.45" customHeight="1">
      <c r="A30" s="1435"/>
      <c r="B30" s="1436"/>
      <c r="C30" s="540" t="str">
        <f>TEXT(B11,"#") &amp; TEXT("-","") &amp; TEXT(C11,"#")</f>
        <v>__-__</v>
      </c>
      <c r="D30" s="541" t="str">
        <f t="shared" ref="D30:K30" si="0">TEXT(C11,"#") &amp; TEXT("-","") &amp; TEXT(D11,"#")</f>
        <v>__-__</v>
      </c>
      <c r="E30" s="541" t="str">
        <f t="shared" si="0"/>
        <v>__-__</v>
      </c>
      <c r="F30" s="541" t="str">
        <f t="shared" si="0"/>
        <v>__-__</v>
      </c>
      <c r="G30" s="541" t="str">
        <f t="shared" si="0"/>
        <v>__-__</v>
      </c>
      <c r="H30" s="541" t="str">
        <f t="shared" si="0"/>
        <v>__-__</v>
      </c>
      <c r="I30" s="541" t="str">
        <f t="shared" si="0"/>
        <v>__-__</v>
      </c>
      <c r="J30" s="541" t="str">
        <f t="shared" si="0"/>
        <v>__-__</v>
      </c>
      <c r="K30" s="542" t="str">
        <f t="shared" si="0"/>
        <v>__-__</v>
      </c>
    </row>
    <row r="31" spans="1:11">
      <c r="A31" s="1404" t="str">
        <f>A12</f>
        <v>20__</v>
      </c>
      <c r="B31" s="1405"/>
      <c r="C31" s="94">
        <f>IFERROR(C12/B12,1)</f>
        <v>1</v>
      </c>
      <c r="D31" s="94">
        <f>IFERROR(D12/C12,1)</f>
        <v>1</v>
      </c>
      <c r="E31" s="94">
        <f t="shared" ref="E31:K31" si="1">IFERROR(E12/D12,1)</f>
        <v>1</v>
      </c>
      <c r="F31" s="94">
        <f t="shared" si="1"/>
        <v>1</v>
      </c>
      <c r="G31" s="94">
        <f t="shared" si="1"/>
        <v>1</v>
      </c>
      <c r="H31" s="94">
        <f t="shared" si="1"/>
        <v>1</v>
      </c>
      <c r="I31" s="94">
        <f t="shared" si="1"/>
        <v>1</v>
      </c>
      <c r="J31" s="94">
        <f t="shared" si="1"/>
        <v>1</v>
      </c>
      <c r="K31" s="546">
        <f t="shared" si="1"/>
        <v>1</v>
      </c>
    </row>
    <row r="32" spans="1:11">
      <c r="A32" s="1406" t="str">
        <f t="shared" ref="A32:A40" si="2">A13</f>
        <v>20__</v>
      </c>
      <c r="B32" s="1407"/>
      <c r="C32" s="103">
        <f t="shared" ref="C32:J39" si="3">IFERROR(C13/B13,1)</f>
        <v>1</v>
      </c>
      <c r="D32" s="103">
        <f t="shared" si="3"/>
        <v>1</v>
      </c>
      <c r="E32" s="103">
        <f t="shared" si="3"/>
        <v>1</v>
      </c>
      <c r="F32" s="103">
        <f t="shared" si="3"/>
        <v>1</v>
      </c>
      <c r="G32" s="103">
        <f t="shared" si="3"/>
        <v>1</v>
      </c>
      <c r="H32" s="103">
        <f t="shared" si="3"/>
        <v>1</v>
      </c>
      <c r="I32" s="103">
        <f t="shared" si="3"/>
        <v>1</v>
      </c>
      <c r="J32" s="103">
        <f t="shared" si="3"/>
        <v>1</v>
      </c>
      <c r="K32" s="98"/>
    </row>
    <row r="33" spans="1:11">
      <c r="A33" s="1402" t="str">
        <f t="shared" si="2"/>
        <v>20__</v>
      </c>
      <c r="B33" s="1403"/>
      <c r="C33" s="94">
        <f t="shared" si="3"/>
        <v>1</v>
      </c>
      <c r="D33" s="94">
        <f t="shared" si="3"/>
        <v>1</v>
      </c>
      <c r="E33" s="94">
        <f t="shared" si="3"/>
        <v>1</v>
      </c>
      <c r="F33" s="94">
        <f t="shared" si="3"/>
        <v>1</v>
      </c>
      <c r="G33" s="94">
        <f t="shared" si="3"/>
        <v>1</v>
      </c>
      <c r="H33" s="94">
        <f t="shared" si="3"/>
        <v>1</v>
      </c>
      <c r="I33" s="94">
        <f t="shared" si="3"/>
        <v>1</v>
      </c>
      <c r="J33" s="97"/>
      <c r="K33" s="98"/>
    </row>
    <row r="34" spans="1:11">
      <c r="A34" s="1406" t="str">
        <f t="shared" si="2"/>
        <v>20__</v>
      </c>
      <c r="B34" s="1407"/>
      <c r="C34" s="103">
        <f t="shared" si="3"/>
        <v>1</v>
      </c>
      <c r="D34" s="103">
        <f t="shared" si="3"/>
        <v>1</v>
      </c>
      <c r="E34" s="103">
        <f t="shared" si="3"/>
        <v>1</v>
      </c>
      <c r="F34" s="103">
        <f t="shared" si="3"/>
        <v>1</v>
      </c>
      <c r="G34" s="103">
        <f t="shared" si="3"/>
        <v>1</v>
      </c>
      <c r="H34" s="103">
        <f t="shared" si="3"/>
        <v>1</v>
      </c>
      <c r="I34" s="97"/>
      <c r="J34" s="97"/>
      <c r="K34" s="98"/>
    </row>
    <row r="35" spans="1:11">
      <c r="A35" s="1402" t="str">
        <f t="shared" si="2"/>
        <v>20__</v>
      </c>
      <c r="B35" s="1403"/>
      <c r="C35" s="94">
        <f t="shared" si="3"/>
        <v>1</v>
      </c>
      <c r="D35" s="94">
        <f t="shared" si="3"/>
        <v>1</v>
      </c>
      <c r="E35" s="94">
        <f t="shared" si="3"/>
        <v>1</v>
      </c>
      <c r="F35" s="94">
        <f t="shared" si="3"/>
        <v>1</v>
      </c>
      <c r="G35" s="94">
        <f t="shared" si="3"/>
        <v>1</v>
      </c>
      <c r="H35" s="97"/>
      <c r="I35" s="97"/>
      <c r="J35" s="97"/>
      <c r="K35" s="98"/>
    </row>
    <row r="36" spans="1:11">
      <c r="A36" s="1406" t="str">
        <f t="shared" si="2"/>
        <v>20__</v>
      </c>
      <c r="B36" s="1407"/>
      <c r="C36" s="103">
        <f t="shared" si="3"/>
        <v>1</v>
      </c>
      <c r="D36" s="103">
        <f t="shared" si="3"/>
        <v>1</v>
      </c>
      <c r="E36" s="103">
        <f t="shared" si="3"/>
        <v>1</v>
      </c>
      <c r="F36" s="103">
        <f t="shared" si="3"/>
        <v>1</v>
      </c>
      <c r="G36" s="97"/>
      <c r="H36" s="97"/>
      <c r="I36" s="97"/>
      <c r="J36" s="97"/>
      <c r="K36" s="98"/>
    </row>
    <row r="37" spans="1:11">
      <c r="A37" s="1402" t="str">
        <f t="shared" si="2"/>
        <v>20__</v>
      </c>
      <c r="B37" s="1403"/>
      <c r="C37" s="94">
        <f t="shared" si="3"/>
        <v>1</v>
      </c>
      <c r="D37" s="94">
        <f t="shared" si="3"/>
        <v>1</v>
      </c>
      <c r="E37" s="94">
        <f t="shared" si="3"/>
        <v>1</v>
      </c>
      <c r="F37" s="97"/>
      <c r="G37" s="97"/>
      <c r="H37" s="97"/>
      <c r="I37" s="97"/>
      <c r="J37" s="97"/>
      <c r="K37" s="98"/>
    </row>
    <row r="38" spans="1:11">
      <c r="A38" s="1406" t="str">
        <f t="shared" si="2"/>
        <v>20__</v>
      </c>
      <c r="B38" s="1407"/>
      <c r="C38" s="103">
        <f t="shared" si="3"/>
        <v>1</v>
      </c>
      <c r="D38" s="103">
        <f t="shared" si="3"/>
        <v>1</v>
      </c>
      <c r="E38" s="97"/>
      <c r="F38" s="97"/>
      <c r="G38" s="97"/>
      <c r="H38" s="97"/>
      <c r="I38" s="97"/>
      <c r="J38" s="97"/>
      <c r="K38" s="98"/>
    </row>
    <row r="39" spans="1:11">
      <c r="A39" s="1402" t="str">
        <f t="shared" si="2"/>
        <v>20__</v>
      </c>
      <c r="B39" s="1403"/>
      <c r="C39" s="94">
        <f t="shared" si="3"/>
        <v>1</v>
      </c>
      <c r="D39" s="97"/>
      <c r="E39" s="97"/>
      <c r="F39" s="97"/>
      <c r="G39" s="97"/>
      <c r="H39" s="97"/>
      <c r="I39" s="97"/>
      <c r="J39" s="97"/>
      <c r="K39" s="98"/>
    </row>
    <row r="40" spans="1:11">
      <c r="A40" s="1400" t="str">
        <f t="shared" si="2"/>
        <v>20__</v>
      </c>
      <c r="B40" s="1401"/>
      <c r="C40" s="99"/>
      <c r="D40" s="99"/>
      <c r="E40" s="99"/>
      <c r="F40" s="99"/>
      <c r="G40" s="99"/>
      <c r="H40" s="99"/>
      <c r="I40" s="99"/>
      <c r="J40" s="99"/>
      <c r="K40" s="100"/>
    </row>
    <row r="41" spans="1:11">
      <c r="B41" s="14"/>
    </row>
    <row r="42" spans="1:11">
      <c r="B42" s="93"/>
      <c r="C42" s="1291" t="s">
        <v>62</v>
      </c>
      <c r="D42" s="1379"/>
      <c r="E42" s="1379"/>
      <c r="F42" s="1379"/>
      <c r="G42" s="1379"/>
      <c r="H42" s="1379"/>
      <c r="I42" s="1379"/>
      <c r="J42" s="1379"/>
      <c r="K42" s="1292"/>
    </row>
    <row r="43" spans="1:11">
      <c r="A43" s="1433" t="s">
        <v>49</v>
      </c>
      <c r="B43" s="1434"/>
      <c r="C43" s="1430" t="s">
        <v>38</v>
      </c>
      <c r="D43" s="1431"/>
      <c r="E43" s="1431"/>
      <c r="F43" s="1431"/>
      <c r="G43" s="1431"/>
      <c r="H43" s="1431"/>
      <c r="I43" s="1431"/>
      <c r="J43" s="1431"/>
      <c r="K43" s="1432"/>
    </row>
    <row r="44" spans="1:11">
      <c r="A44" s="1435"/>
      <c r="B44" s="1436"/>
      <c r="C44" s="543" t="str">
        <f>C30</f>
        <v>__-__</v>
      </c>
      <c r="D44" s="544" t="str">
        <f t="shared" ref="D44:K44" si="4">D30</f>
        <v>__-__</v>
      </c>
      <c r="E44" s="544" t="str">
        <f t="shared" si="4"/>
        <v>__-__</v>
      </c>
      <c r="F44" s="544" t="str">
        <f t="shared" si="4"/>
        <v>__-__</v>
      </c>
      <c r="G44" s="544" t="str">
        <f t="shared" si="4"/>
        <v>__-__</v>
      </c>
      <c r="H44" s="544" t="str">
        <f t="shared" si="4"/>
        <v>__-__</v>
      </c>
      <c r="I44" s="544" t="str">
        <f t="shared" si="4"/>
        <v>__-__</v>
      </c>
      <c r="J44" s="544" t="str">
        <f t="shared" si="4"/>
        <v>__-__</v>
      </c>
      <c r="K44" s="545" t="str">
        <f t="shared" si="4"/>
        <v>__-__</v>
      </c>
    </row>
    <row r="45" spans="1:11">
      <c r="A45" s="1420" t="s">
        <v>39</v>
      </c>
      <c r="B45" s="1421"/>
      <c r="C45" s="94">
        <f>AVERAGE(C31:C39)</f>
        <v>1</v>
      </c>
      <c r="D45" s="94">
        <f t="shared" ref="D45:K45" si="5">AVERAGE(D31:D39)</f>
        <v>1</v>
      </c>
      <c r="E45" s="94">
        <f t="shared" si="5"/>
        <v>1</v>
      </c>
      <c r="F45" s="94">
        <f t="shared" si="5"/>
        <v>1</v>
      </c>
      <c r="G45" s="94">
        <f t="shared" si="5"/>
        <v>1</v>
      </c>
      <c r="H45" s="94">
        <f t="shared" si="5"/>
        <v>1</v>
      </c>
      <c r="I45" s="94">
        <f t="shared" si="5"/>
        <v>1</v>
      </c>
      <c r="J45" s="547">
        <f t="shared" si="5"/>
        <v>1</v>
      </c>
      <c r="K45" s="548">
        <f t="shared" si="5"/>
        <v>1</v>
      </c>
    </row>
    <row r="46" spans="1:11">
      <c r="A46" s="1396" t="s">
        <v>40</v>
      </c>
      <c r="B46" s="1397"/>
      <c r="C46" s="549">
        <f>TRIMMEAN(C31:C39,2/COUNT(C31:C39))</f>
        <v>1</v>
      </c>
      <c r="D46" s="549">
        <f t="shared" ref="D46:I46" si="6">TRIMMEAN(D31:D39,2/COUNT(D31:D39))</f>
        <v>1</v>
      </c>
      <c r="E46" s="549">
        <f t="shared" si="6"/>
        <v>1</v>
      </c>
      <c r="F46" s="429">
        <f t="shared" si="6"/>
        <v>1</v>
      </c>
      <c r="G46" s="549">
        <f t="shared" si="6"/>
        <v>1</v>
      </c>
      <c r="H46" s="549">
        <f t="shared" si="6"/>
        <v>1</v>
      </c>
      <c r="I46" s="429">
        <f t="shared" si="6"/>
        <v>1</v>
      </c>
      <c r="J46" s="97"/>
      <c r="K46" s="98"/>
    </row>
    <row r="47" spans="1:11">
      <c r="A47" s="1398" t="s">
        <v>41</v>
      </c>
      <c r="B47" s="1399"/>
      <c r="C47" s="94">
        <f>AVERAGE(C33:C39)</f>
        <v>1</v>
      </c>
      <c r="D47" s="94">
        <f>AVERAGE(D32:D38)</f>
        <v>1</v>
      </c>
      <c r="E47" s="547">
        <f>AVERAGE(E31:E37)</f>
        <v>1</v>
      </c>
      <c r="F47" s="96"/>
      <c r="G47" s="96"/>
      <c r="H47" s="96"/>
      <c r="I47" s="96"/>
      <c r="J47" s="96"/>
      <c r="K47" s="95"/>
    </row>
    <row r="48" spans="1:11">
      <c r="A48" s="1396" t="s">
        <v>42</v>
      </c>
      <c r="B48" s="1397"/>
      <c r="C48" s="549">
        <f>TRIMMEAN(C33:C39,2/COUNT(C33:C39))</f>
        <v>1</v>
      </c>
      <c r="D48" s="549">
        <f>TRIMMEAN(D32:D38,2/COUNT(D32:D38))</f>
        <v>1</v>
      </c>
      <c r="E48" s="429">
        <f>TRIMMEAN(E31:E37,2/COUNT(E31:E37))</f>
        <v>1</v>
      </c>
      <c r="F48" s="96"/>
      <c r="G48" s="96"/>
      <c r="H48" s="96"/>
      <c r="I48" s="96"/>
      <c r="J48" s="96"/>
      <c r="K48" s="95"/>
    </row>
    <row r="49" spans="1:11">
      <c r="A49" s="1398" t="s">
        <v>43</v>
      </c>
      <c r="B49" s="1399"/>
      <c r="C49" s="94">
        <f>AVERAGE(C35:C39)</f>
        <v>1</v>
      </c>
      <c r="D49" s="94">
        <f>AVERAGE(D34:D38)</f>
        <v>1</v>
      </c>
      <c r="E49" s="94">
        <f>AVERAGE(E33:E37)</f>
        <v>1</v>
      </c>
      <c r="F49" s="428">
        <f>AVERAGE(F32:F36)</f>
        <v>1</v>
      </c>
      <c r="G49" s="428">
        <f>AVERAGE(G31:G35)</f>
        <v>1</v>
      </c>
      <c r="H49" s="96"/>
      <c r="I49" s="96"/>
      <c r="J49" s="96"/>
      <c r="K49" s="95"/>
    </row>
    <row r="50" spans="1:11">
      <c r="A50" s="1396" t="s">
        <v>44</v>
      </c>
      <c r="B50" s="1397"/>
      <c r="C50" s="549">
        <f>TRIMMEAN(C35:C39,2/COUNT(C35:C39))</f>
        <v>1</v>
      </c>
      <c r="D50" s="549">
        <f>TRIMMEAN(D34:D38,2/COUNT(D34:D38))</f>
        <v>1</v>
      </c>
      <c r="E50" s="549">
        <f>TRIMMEAN(E33:E37,2/COUNT(E33:E37))</f>
        <v>1</v>
      </c>
      <c r="F50" s="549">
        <f>TRIMMEAN(F32:F36,2/COUNT(F32:F36))</f>
        <v>1</v>
      </c>
      <c r="G50" s="429">
        <f>TRIMMEAN(G31:G35,2/COUNT(G31:G35))</f>
        <v>1</v>
      </c>
      <c r="H50" s="96"/>
      <c r="I50" s="96"/>
      <c r="J50" s="96"/>
      <c r="K50" s="95"/>
    </row>
    <row r="51" spans="1:11">
      <c r="A51" s="1398" t="s">
        <v>45</v>
      </c>
      <c r="B51" s="1399"/>
      <c r="C51" s="94">
        <f>AVERAGE(C36:C39)</f>
        <v>1</v>
      </c>
      <c r="D51" s="94">
        <f>AVERAGE(D35:D38)</f>
        <v>1</v>
      </c>
      <c r="E51" s="94">
        <f>AVERAGE(E34:E37)</f>
        <v>1</v>
      </c>
      <c r="F51" s="94">
        <f>AVERAGE(F33:F36)</f>
        <v>1</v>
      </c>
      <c r="G51" s="94">
        <f>AVERAGE(G32:G35)</f>
        <v>1</v>
      </c>
      <c r="H51" s="428">
        <f>AVERAGE(H31:H34)</f>
        <v>1</v>
      </c>
      <c r="I51" s="96"/>
      <c r="J51" s="96"/>
      <c r="K51" s="95"/>
    </row>
    <row r="52" spans="1:11">
      <c r="A52" s="1396" t="s">
        <v>46</v>
      </c>
      <c r="B52" s="1397"/>
      <c r="C52" s="549">
        <f>TRIMMEAN(C36:C39,2/COUNT(C36:C39))</f>
        <v>1</v>
      </c>
      <c r="D52" s="549">
        <f>TRIMMEAN(D35:D38,2/COUNT(D35:D38))</f>
        <v>1</v>
      </c>
      <c r="E52" s="549">
        <f>TRIMMEAN(E34:E37,2/COUNT(E34:E37))</f>
        <v>1</v>
      </c>
      <c r="F52" s="549">
        <f>TRIMMEAN(F33:F36,2/COUNT(F33:F36))</f>
        <v>1</v>
      </c>
      <c r="G52" s="549">
        <f>TRIMMEAN(G32:G35,2/COUNT(G32:G35))</f>
        <v>1</v>
      </c>
      <c r="H52" s="429">
        <f>TRIMMEAN(H31:H34,2/COUNT(H31:H34))</f>
        <v>1</v>
      </c>
      <c r="I52" s="96"/>
      <c r="J52" s="96"/>
      <c r="K52" s="95"/>
    </row>
    <row r="53" spans="1:11">
      <c r="A53" s="1398" t="s">
        <v>47</v>
      </c>
      <c r="B53" s="1399"/>
      <c r="C53" s="94">
        <f>AVERAGE(C37:C39)</f>
        <v>1</v>
      </c>
      <c r="D53" s="94">
        <f>AVERAGE(D36:D38)</f>
        <v>1</v>
      </c>
      <c r="E53" s="94">
        <f>AVERAGE(E35:E37)</f>
        <v>1</v>
      </c>
      <c r="F53" s="94">
        <f>AVERAGE(F34:F36)</f>
        <v>1</v>
      </c>
      <c r="G53" s="94">
        <f>AVERAGE(G33:G35)</f>
        <v>1</v>
      </c>
      <c r="H53" s="94">
        <f>AVERAGE(H32:H34)</f>
        <v>1</v>
      </c>
      <c r="I53" s="428">
        <f>AVERAGE(I31:I33)</f>
        <v>1</v>
      </c>
      <c r="J53" s="96"/>
      <c r="K53" s="95"/>
    </row>
    <row r="54" spans="1:11">
      <c r="A54" s="1396" t="s">
        <v>48</v>
      </c>
      <c r="B54" s="1397"/>
      <c r="C54" s="822">
        <f>AVERAGE(C38:C39)</f>
        <v>1</v>
      </c>
      <c r="D54" s="823">
        <f>AVERAGE(D37:D38)</f>
        <v>1</v>
      </c>
      <c r="E54" s="823">
        <f>AVERAGE(E36:E37)</f>
        <v>1</v>
      </c>
      <c r="F54" s="823">
        <f>AVERAGE(F35:F36)</f>
        <v>1</v>
      </c>
      <c r="G54" s="823">
        <f>AVERAGE(G34:G35)</f>
        <v>1</v>
      </c>
      <c r="H54" s="823">
        <f>AVERAGE(H33:H34)</f>
        <v>1</v>
      </c>
      <c r="I54" s="823">
        <f>AVERAGE(I32:I33)</f>
        <v>1</v>
      </c>
      <c r="J54" s="824">
        <f>AVERAGE(J31:J32)</f>
        <v>1</v>
      </c>
      <c r="K54" s="95"/>
    </row>
    <row r="55" spans="1:11">
      <c r="A55" s="1417" t="s">
        <v>625</v>
      </c>
      <c r="B55" s="1418"/>
      <c r="C55" s="825">
        <f>GEOMEAN(C31:C40)</f>
        <v>1</v>
      </c>
      <c r="D55" s="826">
        <f t="shared" ref="D55:K55" si="7">GEOMEAN(D31:D40)</f>
        <v>1</v>
      </c>
      <c r="E55" s="826">
        <f t="shared" si="7"/>
        <v>1</v>
      </c>
      <c r="F55" s="826">
        <f t="shared" si="7"/>
        <v>1</v>
      </c>
      <c r="G55" s="826">
        <f t="shared" si="7"/>
        <v>1</v>
      </c>
      <c r="H55" s="826">
        <f>GEOMEAN(H31:H40)</f>
        <v>1</v>
      </c>
      <c r="I55" s="826">
        <f t="shared" si="7"/>
        <v>1</v>
      </c>
      <c r="J55" s="826">
        <f t="shared" si="7"/>
        <v>1</v>
      </c>
      <c r="K55" s="827">
        <f t="shared" si="7"/>
        <v>1</v>
      </c>
    </row>
    <row r="56" spans="1:11">
      <c r="B56" s="14"/>
    </row>
    <row r="57" spans="1:11">
      <c r="C57" s="1291" t="s">
        <v>785</v>
      </c>
      <c r="D57" s="1379"/>
      <c r="E57" s="1379"/>
      <c r="F57" s="1379"/>
      <c r="G57" s="1379"/>
      <c r="H57" s="1379"/>
      <c r="I57" s="1379"/>
      <c r="J57" s="1379"/>
      <c r="K57" s="1292"/>
    </row>
    <row r="58" spans="1:11" s="996" customFormat="1">
      <c r="C58" s="1408" t="s">
        <v>38</v>
      </c>
      <c r="D58" s="1409"/>
      <c r="E58" s="1409"/>
      <c r="F58" s="1409"/>
      <c r="G58" s="1409"/>
      <c r="H58" s="1409"/>
      <c r="I58" s="1409"/>
      <c r="J58" s="1409"/>
      <c r="K58" s="1410"/>
    </row>
    <row r="59" spans="1:11">
      <c r="C59" s="106" t="str">
        <f>C44</f>
        <v>__-__</v>
      </c>
      <c r="D59" s="104" t="str">
        <f t="shared" ref="D59:K59" si="8">D44</f>
        <v>__-__</v>
      </c>
      <c r="E59" s="104" t="str">
        <f t="shared" si="8"/>
        <v>__-__</v>
      </c>
      <c r="F59" s="104" t="str">
        <f t="shared" si="8"/>
        <v>__-__</v>
      </c>
      <c r="G59" s="104" t="str">
        <f t="shared" si="8"/>
        <v>__-__</v>
      </c>
      <c r="H59" s="104" t="str">
        <f t="shared" si="8"/>
        <v>__-__</v>
      </c>
      <c r="I59" s="104" t="str">
        <f t="shared" si="8"/>
        <v>__-__</v>
      </c>
      <c r="J59" s="104" t="str">
        <f t="shared" si="8"/>
        <v>__-__</v>
      </c>
      <c r="K59" s="105" t="str">
        <f t="shared" si="8"/>
        <v>__-__</v>
      </c>
    </row>
    <row r="60" spans="1:11">
      <c r="B60" s="835" t="s">
        <v>63</v>
      </c>
      <c r="C60" s="830"/>
      <c r="D60" s="721"/>
      <c r="E60" s="721"/>
      <c r="F60" s="721"/>
      <c r="G60" s="721"/>
      <c r="H60" s="721"/>
      <c r="I60" s="721"/>
      <c r="J60" s="721"/>
      <c r="K60" s="722"/>
    </row>
    <row r="61" spans="1:11">
      <c r="B61" s="835" t="s">
        <v>141</v>
      </c>
      <c r="C61" s="831"/>
      <c r="D61" s="89"/>
      <c r="E61" s="89"/>
      <c r="F61" s="89"/>
      <c r="G61" s="89"/>
      <c r="H61" s="89"/>
      <c r="I61" s="89"/>
      <c r="J61" s="89"/>
      <c r="K61" s="89"/>
    </row>
    <row r="62" spans="1:11">
      <c r="B62" s="835"/>
      <c r="C62" s="828"/>
      <c r="D62" s="829"/>
      <c r="E62" s="89"/>
      <c r="F62" s="89"/>
      <c r="G62" s="89"/>
      <c r="H62" s="89"/>
      <c r="I62" s="89"/>
      <c r="J62" s="89"/>
      <c r="K62" s="89"/>
    </row>
    <row r="63" spans="1:11">
      <c r="B63" s="836"/>
      <c r="C63" s="832" t="str">
        <f>TEXT(B11,"#") &amp; TEXT("-Ult","")</f>
        <v>__-Ult</v>
      </c>
      <c r="D63" s="833" t="str">
        <f t="shared" ref="D63:K63" si="9">TEXT(C11,"#") &amp; TEXT("-Ult","")</f>
        <v>__-Ult</v>
      </c>
      <c r="E63" s="833" t="str">
        <f t="shared" si="9"/>
        <v>__-Ult</v>
      </c>
      <c r="F63" s="833" t="str">
        <f t="shared" si="9"/>
        <v>__-Ult</v>
      </c>
      <c r="G63" s="833" t="str">
        <f t="shared" si="9"/>
        <v>__-Ult</v>
      </c>
      <c r="H63" s="833" t="str">
        <f t="shared" si="9"/>
        <v>__-Ult</v>
      </c>
      <c r="I63" s="833" t="str">
        <f t="shared" si="9"/>
        <v>__-Ult</v>
      </c>
      <c r="J63" s="833" t="str">
        <f t="shared" si="9"/>
        <v>__-Ult</v>
      </c>
      <c r="K63" s="834" t="str">
        <f t="shared" si="9"/>
        <v>__-Ult</v>
      </c>
    </row>
    <row r="64" spans="1:11">
      <c r="B64" s="836" t="s">
        <v>64</v>
      </c>
      <c r="C64" s="1173">
        <f>IF(C60=0,1,D64*C60)</f>
        <v>1</v>
      </c>
      <c r="D64" s="1174">
        <f t="shared" ref="D64:I64" si="10">IF(D60=0,1,E64*D60)</f>
        <v>1</v>
      </c>
      <c r="E64" s="1174">
        <f t="shared" si="10"/>
        <v>1</v>
      </c>
      <c r="F64" s="1174">
        <f t="shared" si="10"/>
        <v>1</v>
      </c>
      <c r="G64" s="1174">
        <f t="shared" si="10"/>
        <v>1</v>
      </c>
      <c r="H64" s="1174">
        <f t="shared" si="10"/>
        <v>1</v>
      </c>
      <c r="I64" s="1174">
        <f t="shared" si="10"/>
        <v>1</v>
      </c>
      <c r="J64" s="1174">
        <f>IF(J60=0,1,K64*J60)</f>
        <v>1</v>
      </c>
      <c r="K64" s="1175">
        <f>IF(AND(K60=0,C61=0),1,K60*C61)</f>
        <v>1</v>
      </c>
    </row>
    <row r="66" spans="1:11">
      <c r="A66" s="1304" t="s">
        <v>850</v>
      </c>
      <c r="B66" s="1305"/>
      <c r="C66" s="1305"/>
      <c r="D66" s="1305"/>
      <c r="E66" s="1305"/>
      <c r="F66" s="1305"/>
      <c r="G66" s="1305"/>
      <c r="H66" s="1305"/>
      <c r="I66" s="1305"/>
      <c r="J66" s="1305"/>
      <c r="K66" s="1306"/>
    </row>
    <row r="67" spans="1:11">
      <c r="A67" s="1307"/>
      <c r="B67" s="1308"/>
      <c r="C67" s="1308"/>
      <c r="D67" s="1308"/>
      <c r="E67" s="1308"/>
      <c r="F67" s="1308"/>
      <c r="G67" s="1308"/>
      <c r="H67" s="1308"/>
      <c r="I67" s="1308"/>
      <c r="J67" s="1308"/>
      <c r="K67" s="1309"/>
    </row>
    <row r="68" spans="1:11">
      <c r="A68" s="1362"/>
      <c r="B68" s="1363"/>
      <c r="C68" s="1363"/>
      <c r="D68" s="1363"/>
      <c r="E68" s="1363"/>
      <c r="F68" s="1363"/>
      <c r="G68" s="1363"/>
      <c r="H68" s="1363"/>
      <c r="I68" s="1363"/>
      <c r="J68" s="1363"/>
      <c r="K68" s="1364"/>
    </row>
    <row r="69" spans="1:11">
      <c r="A69" s="1298"/>
      <c r="B69" s="1299"/>
      <c r="C69" s="1299"/>
      <c r="D69" s="1299"/>
      <c r="E69" s="1299"/>
      <c r="F69" s="1299"/>
      <c r="G69" s="1299"/>
      <c r="H69" s="1299"/>
      <c r="I69" s="1299"/>
      <c r="J69" s="1299"/>
      <c r="K69" s="1300"/>
    </row>
    <row r="70" spans="1:11">
      <c r="A70" s="1298"/>
      <c r="B70" s="1299"/>
      <c r="C70" s="1299"/>
      <c r="D70" s="1299"/>
      <c r="E70" s="1299"/>
      <c r="F70" s="1299"/>
      <c r="G70" s="1299"/>
      <c r="H70" s="1299"/>
      <c r="I70" s="1299"/>
      <c r="J70" s="1299"/>
      <c r="K70" s="1300"/>
    </row>
    <row r="71" spans="1:11">
      <c r="A71" s="1301"/>
      <c r="B71" s="1302"/>
      <c r="C71" s="1302"/>
      <c r="D71" s="1302"/>
      <c r="E71" s="1302"/>
      <c r="F71" s="1302"/>
      <c r="G71" s="1302"/>
      <c r="H71" s="1302"/>
      <c r="I71" s="1302"/>
      <c r="J71" s="1302"/>
      <c r="K71" s="1303"/>
    </row>
    <row r="72" spans="1:11">
      <c r="A72" s="527"/>
      <c r="B72" s="527"/>
      <c r="C72" s="527"/>
      <c r="D72" s="527"/>
      <c r="E72" s="527"/>
      <c r="F72" s="527"/>
      <c r="G72" s="527"/>
      <c r="H72" s="527"/>
      <c r="I72" s="527"/>
      <c r="J72" s="527"/>
      <c r="K72" s="527"/>
    </row>
    <row r="73" spans="1:11">
      <c r="A73" s="349"/>
      <c r="B73" s="349"/>
      <c r="C73" s="349"/>
      <c r="D73" s="349"/>
      <c r="E73" s="349"/>
      <c r="F73" s="349"/>
      <c r="G73" s="349"/>
      <c r="H73" s="349"/>
      <c r="I73" s="349"/>
      <c r="J73" s="349"/>
      <c r="K73" s="349"/>
    </row>
    <row r="74" spans="1:11">
      <c r="A74" s="349"/>
      <c r="B74" s="349"/>
      <c r="C74" s="349"/>
      <c r="D74" s="349"/>
      <c r="E74" s="349"/>
      <c r="F74" s="349"/>
      <c r="G74" s="349"/>
      <c r="H74" s="349"/>
      <c r="I74" s="349"/>
      <c r="J74" s="349"/>
      <c r="K74" s="349"/>
    </row>
    <row r="75" spans="1:11">
      <c r="A75" s="349"/>
      <c r="B75" s="349"/>
      <c r="C75" s="349"/>
      <c r="D75" s="349"/>
      <c r="E75" s="349"/>
      <c r="F75" s="349"/>
      <c r="G75" s="349"/>
      <c r="H75" s="349"/>
      <c r="I75" s="349"/>
      <c r="J75" s="349"/>
      <c r="K75" s="349"/>
    </row>
    <row r="76" spans="1:11">
      <c r="A76" s="14"/>
      <c r="F76" s="6" t="s">
        <v>546</v>
      </c>
    </row>
  </sheetData>
  <sheetProtection sheet="1" objects="1" scenarios="1"/>
  <mergeCells count="39">
    <mergeCell ref="A23:K24"/>
    <mergeCell ref="A46:B46"/>
    <mergeCell ref="A47:B47"/>
    <mergeCell ref="A55:B55"/>
    <mergeCell ref="A7:C7"/>
    <mergeCell ref="A45:B45"/>
    <mergeCell ref="A25:K26"/>
    <mergeCell ref="A10:A11"/>
    <mergeCell ref="B10:K10"/>
    <mergeCell ref="A29:B30"/>
    <mergeCell ref="C29:K29"/>
    <mergeCell ref="A43:B44"/>
    <mergeCell ref="C43:K43"/>
    <mergeCell ref="A38:B38"/>
    <mergeCell ref="A33:B33"/>
    <mergeCell ref="A32:B32"/>
    <mergeCell ref="A34:B34"/>
    <mergeCell ref="A48:B48"/>
    <mergeCell ref="C57:K57"/>
    <mergeCell ref="A66:K67"/>
    <mergeCell ref="A50:B50"/>
    <mergeCell ref="A49:B49"/>
    <mergeCell ref="C58:K58"/>
    <mergeCell ref="J5:K5"/>
    <mergeCell ref="J4:K4"/>
    <mergeCell ref="A68:K71"/>
    <mergeCell ref="B9:K9"/>
    <mergeCell ref="C42:K42"/>
    <mergeCell ref="C28:K28"/>
    <mergeCell ref="A54:B54"/>
    <mergeCell ref="A53:B53"/>
    <mergeCell ref="A40:B40"/>
    <mergeCell ref="A39:B39"/>
    <mergeCell ref="A31:B31"/>
    <mergeCell ref="A37:B37"/>
    <mergeCell ref="A36:B36"/>
    <mergeCell ref="A35:B35"/>
    <mergeCell ref="A52:B52"/>
    <mergeCell ref="A51:B51"/>
  </mergeCells>
  <conditionalFormatting sqref="A25 A68">
    <cfRule type="expression" dxfId="90" priority="9">
      <formula>AND($A25="",NOT($M$4=3))</formula>
    </cfRule>
  </conditionalFormatting>
  <conditionalFormatting sqref="B12:B21 C12:C20 D12:D19 E12:E18 F12:F17 G12:G16 H12:H15 I12:I14 J12:J13 K12">
    <cfRule type="expression" dxfId="89" priority="8">
      <formula>AND(B12="",OR($M$4="Accident Year Losses",$M$4="Select"))</formula>
    </cfRule>
  </conditionalFormatting>
  <conditionalFormatting sqref="C61">
    <cfRule type="expression" dxfId="88" priority="5">
      <formula>AND($C$61="",NOT($M$4=3))</formula>
    </cfRule>
  </conditionalFormatting>
  <conditionalFormatting sqref="D7">
    <cfRule type="expression" dxfId="87" priority="4">
      <formula>AND($D$7="",NOT($M$4=3))</formula>
    </cfRule>
  </conditionalFormatting>
  <conditionalFormatting sqref="C60:K60">
    <cfRule type="expression" dxfId="86" priority="93">
      <formula>AND(C$60="",NOT($M$4=3))</formula>
    </cfRule>
  </conditionalFormatting>
  <conditionalFormatting sqref="C45:K55">
    <cfRule type="expression" dxfId="85" priority="2">
      <formula>ROUND(C45,3)=ROUND(C$60,3)</formula>
    </cfRule>
  </conditionalFormatting>
  <conditionalFormatting sqref="A7:E7">
    <cfRule type="expression" dxfId="84" priority="1">
      <formula>$M$4=3</formula>
    </cfRule>
  </conditionalFormatting>
  <dataValidations count="1">
    <dataValidation type="list" allowBlank="1" showInputMessage="1" showErrorMessage="1" sqref="D7">
      <formula1>$M$7:$M$9</formula1>
    </dataValidation>
  </dataValidations>
  <printOptions horizontalCentered="1"/>
  <pageMargins left="0.5" right="0.5" top="0.5" bottom="0.25" header="0.3" footer="0.3"/>
  <pageSetup scale="71" orientation="portrait" r:id="rId1"/>
  <headerFooter>
    <oddFooter>&amp;LRevised 3/2013&amp;RPage &amp;P of &amp;N</oddFooter>
  </headerFooter>
</worksheet>
</file>

<file path=xl/worksheets/sheet14.xml><?xml version="1.0" encoding="utf-8"?>
<worksheet xmlns="http://schemas.openxmlformats.org/spreadsheetml/2006/main" xmlns:r="http://schemas.openxmlformats.org/officeDocument/2006/relationships">
  <sheetPr codeName="Sheet7">
    <pageSetUpPr fitToPage="1"/>
  </sheetPr>
  <dimension ref="A1:P89"/>
  <sheetViews>
    <sheetView showGridLines="0" topLeftCell="C1" workbookViewId="0">
      <pane ySplit="5" topLeftCell="A6" activePane="bottomLeft" state="frozen"/>
      <selection pane="bottomLeft"/>
    </sheetView>
  </sheetViews>
  <sheetFormatPr defaultColWidth="11" defaultRowHeight="15"/>
  <cols>
    <col min="1" max="1" width="5.42578125" style="6" hidden="1" customWidth="1"/>
    <col min="2" max="2" width="7.7109375" style="161" hidden="1" customWidth="1"/>
    <col min="3" max="6" width="14.140625" style="6" customWidth="1"/>
    <col min="7" max="7" width="3.7109375" style="6" customWidth="1"/>
    <col min="8" max="11" width="14.140625" style="6" customWidth="1"/>
    <col min="12" max="12" width="3.7109375" style="6" customWidth="1"/>
    <col min="13" max="16" width="14.140625" style="6" customWidth="1"/>
    <col min="17" max="16384" width="11" style="6"/>
  </cols>
  <sheetData>
    <row r="1" spans="1:16" ht="17.25">
      <c r="C1" s="9" t="str">
        <f>'6-Loss Ratio Trend'!C1</f>
        <v>Texas Department of Insurance</v>
      </c>
      <c r="P1" s="190" t="str">
        <f xml:space="preserve"> "Home - "&amp;MID(C4,9,2)</f>
        <v>Home - 5A</v>
      </c>
    </row>
    <row r="2" spans="1:16" ht="17.25">
      <c r="C2" s="9" t="str">
        <f>'6-Loss Ratio Trend'!C2</f>
        <v>Property and Casualty Rate Filing Exhibits</v>
      </c>
    </row>
    <row r="3" spans="1:16">
      <c r="C3" s="8"/>
    </row>
    <row r="4" spans="1:16" ht="15.75">
      <c r="C4" s="1437" t="s">
        <v>551</v>
      </c>
      <c r="D4" s="1438"/>
      <c r="E4" s="1439"/>
      <c r="F4" s="93"/>
      <c r="N4" s="330" t="s">
        <v>140</v>
      </c>
      <c r="O4" s="1395" t="str">
        <f>'3B-Premium Trend'!G4</f>
        <v/>
      </c>
      <c r="P4" s="1395"/>
    </row>
    <row r="5" spans="1:16" s="161" customFormat="1" ht="15.75">
      <c r="C5" s="844"/>
      <c r="D5" s="844"/>
      <c r="E5" s="844"/>
      <c r="F5" s="93"/>
      <c r="N5" s="330" t="s">
        <v>787</v>
      </c>
      <c r="O5" s="1395" t="str">
        <f>'3B-Premium Trend'!G5</f>
        <v/>
      </c>
      <c r="P5" s="1395"/>
    </row>
    <row r="6" spans="1:16" s="161" customFormat="1" ht="15.75">
      <c r="C6" s="440"/>
      <c r="D6" s="93"/>
      <c r="E6" s="93"/>
      <c r="F6" s="93"/>
    </row>
    <row r="7" spans="1:16" ht="15.75">
      <c r="A7" s="10"/>
      <c r="B7" s="284"/>
      <c r="D7" s="418">
        <v>-1</v>
      </c>
      <c r="E7" s="418">
        <f>D7-1</f>
        <v>-2</v>
      </c>
      <c r="F7" s="418">
        <f>E7-1</f>
        <v>-3</v>
      </c>
    </row>
    <row r="8" spans="1:16">
      <c r="C8" s="1291" t="s">
        <v>464</v>
      </c>
      <c r="D8" s="1379"/>
      <c r="E8" s="1379"/>
      <c r="F8" s="1292"/>
      <c r="H8" s="1291" t="s">
        <v>36</v>
      </c>
      <c r="I8" s="1379"/>
      <c r="J8" s="1379"/>
      <c r="K8" s="1292"/>
      <c r="M8" s="1291" t="s">
        <v>544</v>
      </c>
      <c r="N8" s="1379"/>
      <c r="O8" s="1379"/>
      <c r="P8" s="1292"/>
    </row>
    <row r="9" spans="1:16" s="46" customFormat="1" ht="30">
      <c r="A9" s="46" t="s">
        <v>33</v>
      </c>
      <c r="B9" s="231"/>
      <c r="C9" s="273" t="s">
        <v>474</v>
      </c>
      <c r="D9" s="550" t="s">
        <v>597</v>
      </c>
      <c r="E9" s="551" t="s">
        <v>27</v>
      </c>
      <c r="F9" s="275" t="s">
        <v>28</v>
      </c>
      <c r="H9" s="273" t="str">
        <f>C9</f>
        <v>Calendar Quarter</v>
      </c>
      <c r="I9" s="550" t="s">
        <v>24</v>
      </c>
      <c r="J9" s="551" t="s">
        <v>25</v>
      </c>
      <c r="K9" s="275" t="s">
        <v>26</v>
      </c>
      <c r="M9" s="552" t="str">
        <f>H9</f>
        <v>Calendar Quarter</v>
      </c>
      <c r="N9" s="553" t="s">
        <v>24</v>
      </c>
      <c r="O9" s="554" t="s">
        <v>25</v>
      </c>
      <c r="P9" s="555" t="s">
        <v>26</v>
      </c>
    </row>
    <row r="10" spans="1:16">
      <c r="A10" s="13">
        <v>0.25</v>
      </c>
      <c r="B10" s="285">
        <f t="shared" ref="B10:B31" si="0">B11-91.3125</f>
        <v>-2100.1875</v>
      </c>
      <c r="C10" s="1009" t="str">
        <f>IF('General Information'!$B$18="","_",TEXT(MONTH(B10)/3,"#")) &amp; TEXT("Q ","") &amp; IF('General Information'!$B$18="","20__",TEXT(YEAR(B10),"#"))</f>
        <v>_Q 20__</v>
      </c>
      <c r="D10" s="723"/>
      <c r="E10" s="724"/>
      <c r="F10" s="725"/>
      <c r="H10" s="280" t="str">
        <f t="shared" ref="H10:H31" si="1">C10</f>
        <v>_Q 20__</v>
      </c>
      <c r="I10" s="114">
        <f>IFERROR(E10/D10,0)</f>
        <v>0</v>
      </c>
      <c r="J10" s="116">
        <f>IFERROR(F10/E10,0)</f>
        <v>0</v>
      </c>
      <c r="K10" s="119">
        <f>IFERROR(I10*J10,0)</f>
        <v>0</v>
      </c>
      <c r="M10" s="107"/>
      <c r="N10" s="42"/>
      <c r="O10" s="108"/>
      <c r="P10" s="109"/>
    </row>
    <row r="11" spans="1:16">
      <c r="A11" s="13">
        <f>A10+0.25</f>
        <v>0.5</v>
      </c>
      <c r="B11" s="285">
        <f t="shared" si="0"/>
        <v>-2008.875</v>
      </c>
      <c r="C11" s="1010" t="str">
        <f>IF('General Information'!$B$18="","_",TEXT(MONTH(B11)/3,"#")) &amp; TEXT("Q ","") &amp; IF('General Information'!$B$18="","20__",TEXT(YEAR(B11),"#"))</f>
        <v>_Q 20__</v>
      </c>
      <c r="D11" s="726"/>
      <c r="E11" s="727"/>
      <c r="F11" s="728"/>
      <c r="H11" s="281" t="str">
        <f t="shared" si="1"/>
        <v>_Q 20__</v>
      </c>
      <c r="I11" s="917">
        <f t="shared" ref="I11:I33" si="2">IFERROR(E11/D11,0)</f>
        <v>0</v>
      </c>
      <c r="J11" s="918">
        <f t="shared" ref="J11:J33" si="3">IFERROR(F11/E11,0)</f>
        <v>0</v>
      </c>
      <c r="K11" s="919">
        <f t="shared" ref="K11:K33" si="4">IFERROR(I11*J11,0)</f>
        <v>0</v>
      </c>
      <c r="M11" s="110"/>
      <c r="N11" s="43"/>
      <c r="O11" s="111"/>
      <c r="P11" s="112"/>
    </row>
    <row r="12" spans="1:16">
      <c r="A12" s="13">
        <f t="shared" ref="A12:A33" si="5">A11+0.25</f>
        <v>0.75</v>
      </c>
      <c r="B12" s="285">
        <f t="shared" si="0"/>
        <v>-1917.5625</v>
      </c>
      <c r="C12" s="1011" t="str">
        <f>IF('General Information'!$B$18="","_",TEXT(MONTH(B12)/3,"#")) &amp; TEXT("Q ","") &amp; IF('General Information'!$B$18="","20__",TEXT(YEAR(B12),"#"))</f>
        <v>_Q 20__</v>
      </c>
      <c r="D12" s="729"/>
      <c r="E12" s="730"/>
      <c r="F12" s="731"/>
      <c r="H12" s="280" t="str">
        <f t="shared" si="1"/>
        <v>_Q 20__</v>
      </c>
      <c r="I12" s="114">
        <f t="shared" si="2"/>
        <v>0</v>
      </c>
      <c r="J12" s="116">
        <f t="shared" si="3"/>
        <v>0</v>
      </c>
      <c r="K12" s="119">
        <f t="shared" si="4"/>
        <v>0</v>
      </c>
      <c r="M12" s="110"/>
      <c r="N12" s="43"/>
      <c r="O12" s="111"/>
      <c r="P12" s="112"/>
    </row>
    <row r="13" spans="1:16">
      <c r="A13" s="13">
        <f t="shared" si="5"/>
        <v>1</v>
      </c>
      <c r="B13" s="285">
        <f t="shared" si="0"/>
        <v>-1826.25</v>
      </c>
      <c r="C13" s="1010" t="str">
        <f>IF('General Information'!$B$18="","_",TEXT(MONTH(B13)/3,"#")) &amp; TEXT("Q ","") &amp; IF('General Information'!$B$18="","20__",TEXT(YEAR(B13),"#"))</f>
        <v>_Q 20__</v>
      </c>
      <c r="D13" s="726"/>
      <c r="E13" s="727"/>
      <c r="F13" s="728"/>
      <c r="H13" s="281" t="str">
        <f t="shared" si="1"/>
        <v>_Q 20__</v>
      </c>
      <c r="I13" s="917">
        <f t="shared" si="2"/>
        <v>0</v>
      </c>
      <c r="J13" s="918">
        <f t="shared" si="3"/>
        <v>0</v>
      </c>
      <c r="K13" s="919">
        <f t="shared" si="4"/>
        <v>0</v>
      </c>
      <c r="M13" s="281" t="str">
        <f t="shared" ref="M13:M31" si="6">H13</f>
        <v>_Q 20__</v>
      </c>
      <c r="N13" s="115">
        <f>IFERROR(SUM(E10:E13)/SUM(D10:D13),0)</f>
        <v>0</v>
      </c>
      <c r="O13" s="117">
        <f>IFERROR(SUM(F10:F13)/SUM(E10:E13),0)</f>
        <v>0</v>
      </c>
      <c r="P13" s="120">
        <f>IFERROR(N13*O13,0)</f>
        <v>0</v>
      </c>
    </row>
    <row r="14" spans="1:16">
      <c r="A14" s="13">
        <f t="shared" si="5"/>
        <v>1.25</v>
      </c>
      <c r="B14" s="285">
        <f t="shared" si="0"/>
        <v>-1734.9375</v>
      </c>
      <c r="C14" s="1011" t="str">
        <f>IF('General Information'!$B$18="","_",TEXT(MONTH(B14)/3,"#")) &amp; TEXT("Q ","") &amp; IF('General Information'!$B$18="","20__",TEXT(YEAR(B14),"#"))</f>
        <v>_Q 20__</v>
      </c>
      <c r="D14" s="729"/>
      <c r="E14" s="730"/>
      <c r="F14" s="731"/>
      <c r="H14" s="280" t="str">
        <f t="shared" si="1"/>
        <v>_Q 20__</v>
      </c>
      <c r="I14" s="114">
        <f t="shared" si="2"/>
        <v>0</v>
      </c>
      <c r="J14" s="116">
        <f t="shared" si="3"/>
        <v>0</v>
      </c>
      <c r="K14" s="119">
        <f t="shared" si="4"/>
        <v>0</v>
      </c>
      <c r="M14" s="280" t="str">
        <f t="shared" si="6"/>
        <v>_Q 20__</v>
      </c>
      <c r="N14" s="113">
        <f t="shared" ref="N14:N33" si="7">IFERROR(SUM(E11:E14)/SUM(D11:D14),0)</f>
        <v>0</v>
      </c>
      <c r="O14" s="118">
        <f t="shared" ref="O14:O33" si="8">IFERROR(SUM(F11:F14)/SUM(E11:E14),0)</f>
        <v>0</v>
      </c>
      <c r="P14" s="121">
        <f t="shared" ref="P14:P33" si="9">IFERROR(N14*O14,0)</f>
        <v>0</v>
      </c>
    </row>
    <row r="15" spans="1:16">
      <c r="A15" s="13">
        <f t="shared" si="5"/>
        <v>1.5</v>
      </c>
      <c r="B15" s="285">
        <f t="shared" si="0"/>
        <v>-1643.625</v>
      </c>
      <c r="C15" s="1010" t="str">
        <f>IF('General Information'!$B$18="","_",TEXT(MONTH(B15)/3,"#")) &amp; TEXT("Q ","") &amp; IF('General Information'!$B$18="","20__",TEXT(YEAR(B15),"#"))</f>
        <v>_Q 20__</v>
      </c>
      <c r="D15" s="726"/>
      <c r="E15" s="727"/>
      <c r="F15" s="728"/>
      <c r="H15" s="281" t="str">
        <f t="shared" si="1"/>
        <v>_Q 20__</v>
      </c>
      <c r="I15" s="917">
        <f t="shared" si="2"/>
        <v>0</v>
      </c>
      <c r="J15" s="918">
        <f t="shared" si="3"/>
        <v>0</v>
      </c>
      <c r="K15" s="919">
        <f t="shared" si="4"/>
        <v>0</v>
      </c>
      <c r="M15" s="281" t="str">
        <f t="shared" si="6"/>
        <v>_Q 20__</v>
      </c>
      <c r="N15" s="115">
        <f t="shared" si="7"/>
        <v>0</v>
      </c>
      <c r="O15" s="117">
        <f t="shared" si="8"/>
        <v>0</v>
      </c>
      <c r="P15" s="120">
        <f t="shared" si="9"/>
        <v>0</v>
      </c>
    </row>
    <row r="16" spans="1:16">
      <c r="A16" s="13">
        <f t="shared" si="5"/>
        <v>1.75</v>
      </c>
      <c r="B16" s="285">
        <f t="shared" si="0"/>
        <v>-1552.3125</v>
      </c>
      <c r="C16" s="1011" t="str">
        <f>IF('General Information'!$B$18="","_",TEXT(MONTH(B16)/3,"#")) &amp; TEXT("Q ","") &amp; IF('General Information'!$B$18="","20__",TEXT(YEAR(B16),"#"))</f>
        <v>_Q 20__</v>
      </c>
      <c r="D16" s="729"/>
      <c r="E16" s="730"/>
      <c r="F16" s="731"/>
      <c r="H16" s="280" t="str">
        <f t="shared" si="1"/>
        <v>_Q 20__</v>
      </c>
      <c r="I16" s="114">
        <f t="shared" si="2"/>
        <v>0</v>
      </c>
      <c r="J16" s="116">
        <f t="shared" si="3"/>
        <v>0</v>
      </c>
      <c r="K16" s="119">
        <f t="shared" si="4"/>
        <v>0</v>
      </c>
      <c r="M16" s="280" t="str">
        <f t="shared" si="6"/>
        <v>_Q 20__</v>
      </c>
      <c r="N16" s="113">
        <f t="shared" si="7"/>
        <v>0</v>
      </c>
      <c r="O16" s="118">
        <f t="shared" si="8"/>
        <v>0</v>
      </c>
      <c r="P16" s="121">
        <f t="shared" si="9"/>
        <v>0</v>
      </c>
    </row>
    <row r="17" spans="1:16">
      <c r="A17" s="13">
        <f t="shared" si="5"/>
        <v>2</v>
      </c>
      <c r="B17" s="285">
        <f t="shared" si="0"/>
        <v>-1461</v>
      </c>
      <c r="C17" s="1010" t="str">
        <f>IF('General Information'!$B$18="","_",TEXT(MONTH(B17)/3,"#")) &amp; TEXT("Q ","") &amp; IF('General Information'!$B$18="","20__",TEXT(YEAR(B17),"#"))</f>
        <v>_Q 20__</v>
      </c>
      <c r="D17" s="726"/>
      <c r="E17" s="727"/>
      <c r="F17" s="728"/>
      <c r="H17" s="281" t="str">
        <f t="shared" si="1"/>
        <v>_Q 20__</v>
      </c>
      <c r="I17" s="917">
        <f t="shared" si="2"/>
        <v>0</v>
      </c>
      <c r="J17" s="918">
        <f t="shared" si="3"/>
        <v>0</v>
      </c>
      <c r="K17" s="919">
        <f t="shared" si="4"/>
        <v>0</v>
      </c>
      <c r="M17" s="281" t="str">
        <f t="shared" si="6"/>
        <v>_Q 20__</v>
      </c>
      <c r="N17" s="115">
        <f t="shared" si="7"/>
        <v>0</v>
      </c>
      <c r="O17" s="117">
        <f t="shared" si="8"/>
        <v>0</v>
      </c>
      <c r="P17" s="120">
        <f t="shared" si="9"/>
        <v>0</v>
      </c>
    </row>
    <row r="18" spans="1:16">
      <c r="A18" s="13">
        <f t="shared" si="5"/>
        <v>2.25</v>
      </c>
      <c r="B18" s="285">
        <f t="shared" si="0"/>
        <v>-1369.6875</v>
      </c>
      <c r="C18" s="1011" t="str">
        <f>IF('General Information'!$B$18="","_",TEXT(MONTH(B18)/3,"#")) &amp; TEXT("Q ","") &amp; IF('General Information'!$B$18="","20__",TEXT(YEAR(B18),"#"))</f>
        <v>_Q 20__</v>
      </c>
      <c r="D18" s="729"/>
      <c r="E18" s="730"/>
      <c r="F18" s="731"/>
      <c r="H18" s="280" t="str">
        <f t="shared" si="1"/>
        <v>_Q 20__</v>
      </c>
      <c r="I18" s="114">
        <f t="shared" si="2"/>
        <v>0</v>
      </c>
      <c r="J18" s="116">
        <f t="shared" si="3"/>
        <v>0</v>
      </c>
      <c r="K18" s="119">
        <f t="shared" si="4"/>
        <v>0</v>
      </c>
      <c r="M18" s="280" t="str">
        <f t="shared" si="6"/>
        <v>_Q 20__</v>
      </c>
      <c r="N18" s="113">
        <f t="shared" si="7"/>
        <v>0</v>
      </c>
      <c r="O18" s="118">
        <f t="shared" si="8"/>
        <v>0</v>
      </c>
      <c r="P18" s="121">
        <f t="shared" si="9"/>
        <v>0</v>
      </c>
    </row>
    <row r="19" spans="1:16">
      <c r="A19" s="13">
        <f t="shared" si="5"/>
        <v>2.5</v>
      </c>
      <c r="B19" s="285">
        <f t="shared" si="0"/>
        <v>-1278.375</v>
      </c>
      <c r="C19" s="1010" t="str">
        <f>IF('General Information'!$B$18="","_",TEXT(MONTH(B19)/3,"#")) &amp; TEXT("Q ","") &amp; IF('General Information'!$B$18="","20__",TEXT(YEAR(B19),"#"))</f>
        <v>_Q 20__</v>
      </c>
      <c r="D19" s="726"/>
      <c r="E19" s="727"/>
      <c r="F19" s="728"/>
      <c r="H19" s="281" t="str">
        <f t="shared" si="1"/>
        <v>_Q 20__</v>
      </c>
      <c r="I19" s="917">
        <f t="shared" si="2"/>
        <v>0</v>
      </c>
      <c r="J19" s="918">
        <f t="shared" si="3"/>
        <v>0</v>
      </c>
      <c r="K19" s="919">
        <f t="shared" si="4"/>
        <v>0</v>
      </c>
      <c r="M19" s="281" t="str">
        <f t="shared" si="6"/>
        <v>_Q 20__</v>
      </c>
      <c r="N19" s="115">
        <f t="shared" si="7"/>
        <v>0</v>
      </c>
      <c r="O19" s="117">
        <f t="shared" si="8"/>
        <v>0</v>
      </c>
      <c r="P19" s="120">
        <f t="shared" si="9"/>
        <v>0</v>
      </c>
    </row>
    <row r="20" spans="1:16">
      <c r="A20" s="13">
        <f t="shared" si="5"/>
        <v>2.75</v>
      </c>
      <c r="B20" s="285">
        <f t="shared" si="0"/>
        <v>-1187.0625</v>
      </c>
      <c r="C20" s="1011" t="str">
        <f>IF('General Information'!$B$18="","_",TEXT(MONTH(B20)/3,"#")) &amp; TEXT("Q ","") &amp; IF('General Information'!$B$18="","20__",TEXT(YEAR(B20),"#"))</f>
        <v>_Q 20__</v>
      </c>
      <c r="D20" s="729"/>
      <c r="E20" s="730"/>
      <c r="F20" s="731"/>
      <c r="H20" s="280" t="str">
        <f t="shared" si="1"/>
        <v>_Q 20__</v>
      </c>
      <c r="I20" s="114">
        <f t="shared" si="2"/>
        <v>0</v>
      </c>
      <c r="J20" s="116">
        <f t="shared" si="3"/>
        <v>0</v>
      </c>
      <c r="K20" s="119">
        <f t="shared" si="4"/>
        <v>0</v>
      </c>
      <c r="M20" s="280" t="str">
        <f t="shared" si="6"/>
        <v>_Q 20__</v>
      </c>
      <c r="N20" s="113">
        <f t="shared" si="7"/>
        <v>0</v>
      </c>
      <c r="O20" s="118">
        <f t="shared" si="8"/>
        <v>0</v>
      </c>
      <c r="P20" s="121">
        <f t="shared" si="9"/>
        <v>0</v>
      </c>
    </row>
    <row r="21" spans="1:16">
      <c r="A21" s="13">
        <f t="shared" si="5"/>
        <v>3</v>
      </c>
      <c r="B21" s="285">
        <f t="shared" si="0"/>
        <v>-1095.75</v>
      </c>
      <c r="C21" s="1010" t="str">
        <f>IF('General Information'!$B$18="","_",TEXT(MONTH(B21)/3,"#")) &amp; TEXT("Q ","") &amp; IF('General Information'!$B$18="","20__",TEXT(YEAR(B21),"#"))</f>
        <v>_Q 20__</v>
      </c>
      <c r="D21" s="726"/>
      <c r="E21" s="727"/>
      <c r="F21" s="728"/>
      <c r="H21" s="281" t="str">
        <f t="shared" si="1"/>
        <v>_Q 20__</v>
      </c>
      <c r="I21" s="917">
        <f t="shared" si="2"/>
        <v>0</v>
      </c>
      <c r="J21" s="918">
        <f t="shared" si="3"/>
        <v>0</v>
      </c>
      <c r="K21" s="919">
        <f t="shared" si="4"/>
        <v>0</v>
      </c>
      <c r="M21" s="281" t="str">
        <f t="shared" si="6"/>
        <v>_Q 20__</v>
      </c>
      <c r="N21" s="115">
        <f t="shared" si="7"/>
        <v>0</v>
      </c>
      <c r="O21" s="117">
        <f t="shared" si="8"/>
        <v>0</v>
      </c>
      <c r="P21" s="120">
        <f t="shared" si="9"/>
        <v>0</v>
      </c>
    </row>
    <row r="22" spans="1:16">
      <c r="A22" s="13">
        <f t="shared" si="5"/>
        <v>3.25</v>
      </c>
      <c r="B22" s="285">
        <f t="shared" si="0"/>
        <v>-1004.4375</v>
      </c>
      <c r="C22" s="1011" t="str">
        <f>IF('General Information'!$B$18="","_",TEXT(MONTH(B22)/3,"#")) &amp; TEXT("Q ","") &amp; IF('General Information'!$B$18="","20__",TEXT(YEAR(B22),"#"))</f>
        <v>_Q 20__</v>
      </c>
      <c r="D22" s="729"/>
      <c r="E22" s="730"/>
      <c r="F22" s="731"/>
      <c r="H22" s="280" t="str">
        <f t="shared" si="1"/>
        <v>_Q 20__</v>
      </c>
      <c r="I22" s="114">
        <f t="shared" si="2"/>
        <v>0</v>
      </c>
      <c r="J22" s="116">
        <f t="shared" si="3"/>
        <v>0</v>
      </c>
      <c r="K22" s="119">
        <f t="shared" si="4"/>
        <v>0</v>
      </c>
      <c r="M22" s="280" t="str">
        <f t="shared" si="6"/>
        <v>_Q 20__</v>
      </c>
      <c r="N22" s="113">
        <f t="shared" si="7"/>
        <v>0</v>
      </c>
      <c r="O22" s="118">
        <f t="shared" si="8"/>
        <v>0</v>
      </c>
      <c r="P22" s="121">
        <f t="shared" si="9"/>
        <v>0</v>
      </c>
    </row>
    <row r="23" spans="1:16">
      <c r="A23" s="13">
        <f t="shared" si="5"/>
        <v>3.5</v>
      </c>
      <c r="B23" s="285">
        <f t="shared" si="0"/>
        <v>-913.125</v>
      </c>
      <c r="C23" s="1010" t="str">
        <f>IF('General Information'!$B$18="","_",TEXT(MONTH(B23)/3,"#")) &amp; TEXT("Q ","") &amp; IF('General Information'!$B$18="","20__",TEXT(YEAR(B23),"#"))</f>
        <v>_Q 20__</v>
      </c>
      <c r="D23" s="726"/>
      <c r="E23" s="727"/>
      <c r="F23" s="728"/>
      <c r="H23" s="281" t="str">
        <f t="shared" si="1"/>
        <v>_Q 20__</v>
      </c>
      <c r="I23" s="917">
        <f t="shared" si="2"/>
        <v>0</v>
      </c>
      <c r="J23" s="918">
        <f t="shared" si="3"/>
        <v>0</v>
      </c>
      <c r="K23" s="919">
        <f t="shared" si="4"/>
        <v>0</v>
      </c>
      <c r="M23" s="281" t="str">
        <f t="shared" si="6"/>
        <v>_Q 20__</v>
      </c>
      <c r="N23" s="115">
        <f t="shared" si="7"/>
        <v>0</v>
      </c>
      <c r="O23" s="117">
        <f t="shared" si="8"/>
        <v>0</v>
      </c>
      <c r="P23" s="120">
        <f t="shared" si="9"/>
        <v>0</v>
      </c>
    </row>
    <row r="24" spans="1:16">
      <c r="A24" s="13">
        <f t="shared" si="5"/>
        <v>3.75</v>
      </c>
      <c r="B24" s="285">
        <f t="shared" si="0"/>
        <v>-821.8125</v>
      </c>
      <c r="C24" s="1011" t="str">
        <f>IF('General Information'!$B$18="","_",TEXT(MONTH(B24)/3,"#")) &amp; TEXT("Q ","") &amp; IF('General Information'!$B$18="","20__",TEXT(YEAR(B24),"#"))</f>
        <v>_Q 20__</v>
      </c>
      <c r="D24" s="729"/>
      <c r="E24" s="730"/>
      <c r="F24" s="731"/>
      <c r="H24" s="280" t="str">
        <f t="shared" si="1"/>
        <v>_Q 20__</v>
      </c>
      <c r="I24" s="114">
        <f t="shared" si="2"/>
        <v>0</v>
      </c>
      <c r="J24" s="116">
        <f t="shared" si="3"/>
        <v>0</v>
      </c>
      <c r="K24" s="119">
        <f t="shared" si="4"/>
        <v>0</v>
      </c>
      <c r="M24" s="280" t="str">
        <f t="shared" si="6"/>
        <v>_Q 20__</v>
      </c>
      <c r="N24" s="113">
        <f t="shared" si="7"/>
        <v>0</v>
      </c>
      <c r="O24" s="118">
        <f t="shared" si="8"/>
        <v>0</v>
      </c>
      <c r="P24" s="121">
        <f t="shared" si="9"/>
        <v>0</v>
      </c>
    </row>
    <row r="25" spans="1:16">
      <c r="A25" s="13">
        <f t="shared" si="5"/>
        <v>4</v>
      </c>
      <c r="B25" s="285">
        <f t="shared" si="0"/>
        <v>-730.5</v>
      </c>
      <c r="C25" s="1010" t="str">
        <f>IF('General Information'!$B$18="","_",TEXT(MONTH(B25)/3,"#")) &amp; TEXT("Q ","") &amp; IF('General Information'!$B$18="","20__",TEXT(YEAR(B25),"#"))</f>
        <v>_Q 20__</v>
      </c>
      <c r="D25" s="726"/>
      <c r="E25" s="727"/>
      <c r="F25" s="728"/>
      <c r="H25" s="845" t="str">
        <f t="shared" si="1"/>
        <v>_Q 20__</v>
      </c>
      <c r="I25" s="917">
        <f t="shared" si="2"/>
        <v>0</v>
      </c>
      <c r="J25" s="918">
        <f t="shared" si="3"/>
        <v>0</v>
      </c>
      <c r="K25" s="919">
        <f t="shared" si="4"/>
        <v>0</v>
      </c>
      <c r="M25" s="281" t="str">
        <f t="shared" si="6"/>
        <v>_Q 20__</v>
      </c>
      <c r="N25" s="115">
        <f t="shared" si="7"/>
        <v>0</v>
      </c>
      <c r="O25" s="117">
        <f t="shared" si="8"/>
        <v>0</v>
      </c>
      <c r="P25" s="120">
        <f t="shared" si="9"/>
        <v>0</v>
      </c>
    </row>
    <row r="26" spans="1:16">
      <c r="A26" s="13">
        <f t="shared" si="5"/>
        <v>4.25</v>
      </c>
      <c r="B26" s="285">
        <f t="shared" si="0"/>
        <v>-639.1875</v>
      </c>
      <c r="C26" s="1011" t="str">
        <f>IF('General Information'!$B$18="","_",TEXT(MONTH(B26)/3,"#")) &amp; TEXT("Q ","") &amp; IF('General Information'!$B$18="","20__",TEXT(YEAR(B26),"#"))</f>
        <v>_Q 20__</v>
      </c>
      <c r="D26" s="729"/>
      <c r="E26" s="730"/>
      <c r="F26" s="731"/>
      <c r="H26" s="280" t="str">
        <f t="shared" si="1"/>
        <v>_Q 20__</v>
      </c>
      <c r="I26" s="114">
        <f t="shared" si="2"/>
        <v>0</v>
      </c>
      <c r="J26" s="116">
        <f t="shared" si="3"/>
        <v>0</v>
      </c>
      <c r="K26" s="119">
        <f t="shared" si="4"/>
        <v>0</v>
      </c>
      <c r="M26" s="280" t="str">
        <f t="shared" si="6"/>
        <v>_Q 20__</v>
      </c>
      <c r="N26" s="113">
        <f t="shared" si="7"/>
        <v>0</v>
      </c>
      <c r="O26" s="118">
        <f t="shared" si="8"/>
        <v>0</v>
      </c>
      <c r="P26" s="121">
        <f t="shared" si="9"/>
        <v>0</v>
      </c>
    </row>
    <row r="27" spans="1:16">
      <c r="A27" s="13">
        <f t="shared" si="5"/>
        <v>4.5</v>
      </c>
      <c r="B27" s="285">
        <f t="shared" si="0"/>
        <v>-547.875</v>
      </c>
      <c r="C27" s="1010" t="str">
        <f>IF('General Information'!$B$18="","_",TEXT(MONTH(B27)/3,"#")) &amp; TEXT("Q ","") &amp; IF('General Information'!$B$18="","20__",TEXT(YEAR(B27),"#"))</f>
        <v>_Q 20__</v>
      </c>
      <c r="D27" s="726"/>
      <c r="E27" s="727"/>
      <c r="F27" s="728"/>
      <c r="H27" s="281" t="str">
        <f t="shared" si="1"/>
        <v>_Q 20__</v>
      </c>
      <c r="I27" s="917">
        <f t="shared" si="2"/>
        <v>0</v>
      </c>
      <c r="J27" s="918">
        <f t="shared" si="3"/>
        <v>0</v>
      </c>
      <c r="K27" s="919">
        <f t="shared" si="4"/>
        <v>0</v>
      </c>
      <c r="M27" s="281" t="str">
        <f t="shared" si="6"/>
        <v>_Q 20__</v>
      </c>
      <c r="N27" s="115">
        <f t="shared" si="7"/>
        <v>0</v>
      </c>
      <c r="O27" s="117">
        <f t="shared" si="8"/>
        <v>0</v>
      </c>
      <c r="P27" s="120">
        <f t="shared" si="9"/>
        <v>0</v>
      </c>
    </row>
    <row r="28" spans="1:16">
      <c r="A28" s="13">
        <f t="shared" si="5"/>
        <v>4.75</v>
      </c>
      <c r="B28" s="285">
        <f t="shared" si="0"/>
        <v>-456.5625</v>
      </c>
      <c r="C28" s="1011" t="str">
        <f>IF('General Information'!$B$18="","_",TEXT(MONTH(B28)/3,"#")) &amp; TEXT("Q ","") &amp; IF('General Information'!$B$18="","20__",TEXT(YEAR(B28),"#"))</f>
        <v>_Q 20__</v>
      </c>
      <c r="D28" s="729"/>
      <c r="E28" s="730"/>
      <c r="F28" s="731"/>
      <c r="H28" s="280" t="str">
        <f t="shared" si="1"/>
        <v>_Q 20__</v>
      </c>
      <c r="I28" s="114">
        <f t="shared" si="2"/>
        <v>0</v>
      </c>
      <c r="J28" s="116">
        <f t="shared" si="3"/>
        <v>0</v>
      </c>
      <c r="K28" s="119">
        <f t="shared" si="4"/>
        <v>0</v>
      </c>
      <c r="M28" s="280" t="str">
        <f t="shared" si="6"/>
        <v>_Q 20__</v>
      </c>
      <c r="N28" s="113">
        <f t="shared" si="7"/>
        <v>0</v>
      </c>
      <c r="O28" s="118">
        <f t="shared" si="8"/>
        <v>0</v>
      </c>
      <c r="P28" s="121">
        <f t="shared" si="9"/>
        <v>0</v>
      </c>
    </row>
    <row r="29" spans="1:16">
      <c r="A29" s="13">
        <f t="shared" si="5"/>
        <v>5</v>
      </c>
      <c r="B29" s="285">
        <f t="shared" si="0"/>
        <v>-365.25</v>
      </c>
      <c r="C29" s="1010" t="str">
        <f>IF('General Information'!$B$18="","_",TEXT(MONTH(B29)/3,"#")) &amp; TEXT("Q ","") &amp; IF('General Information'!$B$18="","20__",TEXT(YEAR(B29),"#"))</f>
        <v>_Q 20__</v>
      </c>
      <c r="D29" s="726"/>
      <c r="E29" s="727"/>
      <c r="F29" s="728"/>
      <c r="H29" s="281" t="str">
        <f t="shared" si="1"/>
        <v>_Q 20__</v>
      </c>
      <c r="I29" s="917">
        <f t="shared" si="2"/>
        <v>0</v>
      </c>
      <c r="J29" s="918">
        <f t="shared" si="3"/>
        <v>0</v>
      </c>
      <c r="K29" s="919">
        <f t="shared" si="4"/>
        <v>0</v>
      </c>
      <c r="M29" s="281" t="str">
        <f t="shared" si="6"/>
        <v>_Q 20__</v>
      </c>
      <c r="N29" s="115">
        <f t="shared" si="7"/>
        <v>0</v>
      </c>
      <c r="O29" s="117">
        <f t="shared" si="8"/>
        <v>0</v>
      </c>
      <c r="P29" s="120">
        <f t="shared" si="9"/>
        <v>0</v>
      </c>
    </row>
    <row r="30" spans="1:16">
      <c r="A30" s="13">
        <f t="shared" si="5"/>
        <v>5.25</v>
      </c>
      <c r="B30" s="285">
        <f t="shared" si="0"/>
        <v>-273.9375</v>
      </c>
      <c r="C30" s="1011" t="str">
        <f>IF('General Information'!$B$18="","_",TEXT(MONTH(B30)/3,"#")) &amp; TEXT("Q ","") &amp; IF('General Information'!$B$18="","20__",TEXT(YEAR(B30),"#"))</f>
        <v>_Q 20__</v>
      </c>
      <c r="D30" s="729"/>
      <c r="E30" s="730"/>
      <c r="F30" s="731"/>
      <c r="H30" s="280" t="str">
        <f t="shared" si="1"/>
        <v>_Q 20__</v>
      </c>
      <c r="I30" s="114">
        <f t="shared" si="2"/>
        <v>0</v>
      </c>
      <c r="J30" s="116">
        <f t="shared" si="3"/>
        <v>0</v>
      </c>
      <c r="K30" s="119">
        <f t="shared" si="4"/>
        <v>0</v>
      </c>
      <c r="M30" s="280" t="str">
        <f t="shared" si="6"/>
        <v>_Q 20__</v>
      </c>
      <c r="N30" s="113">
        <f t="shared" si="7"/>
        <v>0</v>
      </c>
      <c r="O30" s="118">
        <f t="shared" si="8"/>
        <v>0</v>
      </c>
      <c r="P30" s="121">
        <f t="shared" si="9"/>
        <v>0</v>
      </c>
    </row>
    <row r="31" spans="1:16">
      <c r="A31" s="13">
        <f t="shared" si="5"/>
        <v>5.5</v>
      </c>
      <c r="B31" s="285">
        <f t="shared" si="0"/>
        <v>-182.625</v>
      </c>
      <c r="C31" s="1010" t="str">
        <f>IF('General Information'!$B$18="","_",TEXT(MONTH(B31)/3,"#")) &amp; TEXT("Q ","") &amp; IF('General Information'!$B$18="","20__",TEXT(YEAR(B31),"#"))</f>
        <v>_Q 20__</v>
      </c>
      <c r="D31" s="726"/>
      <c r="E31" s="727"/>
      <c r="F31" s="728"/>
      <c r="H31" s="281" t="str">
        <f t="shared" si="1"/>
        <v>_Q 20__</v>
      </c>
      <c r="I31" s="917">
        <f t="shared" si="2"/>
        <v>0</v>
      </c>
      <c r="J31" s="918">
        <f t="shared" si="3"/>
        <v>0</v>
      </c>
      <c r="K31" s="919">
        <f t="shared" si="4"/>
        <v>0</v>
      </c>
      <c r="M31" s="281" t="str">
        <f t="shared" si="6"/>
        <v>_Q 20__</v>
      </c>
      <c r="N31" s="115">
        <f t="shared" si="7"/>
        <v>0</v>
      </c>
      <c r="O31" s="117">
        <f t="shared" si="8"/>
        <v>0</v>
      </c>
      <c r="P31" s="120">
        <f t="shared" si="9"/>
        <v>0</v>
      </c>
    </row>
    <row r="32" spans="1:16">
      <c r="A32" s="13">
        <f t="shared" si="5"/>
        <v>5.75</v>
      </c>
      <c r="B32" s="285">
        <f>B33-91.3125</f>
        <v>-91.3125</v>
      </c>
      <c r="C32" s="1011" t="str">
        <f>IF('General Information'!$B$18="","_",TEXT(MONTH(B32)/3,"#")) &amp; TEXT("Q ","") &amp; IF('General Information'!$B$18="","20__",TEXT(YEAR(B32),"#"))</f>
        <v>_Q 20__</v>
      </c>
      <c r="D32" s="729"/>
      <c r="E32" s="730"/>
      <c r="F32" s="731"/>
      <c r="H32" s="280" t="str">
        <f t="shared" ref="H32:H33" si="10">C32</f>
        <v>_Q 20__</v>
      </c>
      <c r="I32" s="114">
        <f t="shared" si="2"/>
        <v>0</v>
      </c>
      <c r="J32" s="116">
        <f t="shared" si="3"/>
        <v>0</v>
      </c>
      <c r="K32" s="119">
        <f t="shared" si="4"/>
        <v>0</v>
      </c>
      <c r="M32" s="280" t="str">
        <f t="shared" ref="M32:M33" si="11">H32</f>
        <v>_Q 20__</v>
      </c>
      <c r="N32" s="113">
        <f t="shared" si="7"/>
        <v>0</v>
      </c>
      <c r="O32" s="118">
        <f t="shared" si="8"/>
        <v>0</v>
      </c>
      <c r="P32" s="121">
        <f t="shared" si="9"/>
        <v>0</v>
      </c>
    </row>
    <row r="33" spans="1:16">
      <c r="A33" s="13">
        <f t="shared" si="5"/>
        <v>6</v>
      </c>
      <c r="B33" s="285">
        <f>'General Information'!B18</f>
        <v>0</v>
      </c>
      <c r="C33" s="1012" t="str">
        <f>IF('General Information'!$B$18="","_",TEXT(MONTH(B33)/3,"#")) &amp; TEXT("Q ","") &amp; IF('General Information'!$B$18="","20__",TEXT(YEAR(B33),"#"))</f>
        <v>_Q 20__</v>
      </c>
      <c r="D33" s="732"/>
      <c r="E33" s="733"/>
      <c r="F33" s="734"/>
      <c r="H33" s="282" t="str">
        <f t="shared" si="10"/>
        <v>_Q 20__</v>
      </c>
      <c r="I33" s="219">
        <f t="shared" si="2"/>
        <v>0</v>
      </c>
      <c r="J33" s="122">
        <f t="shared" si="3"/>
        <v>0</v>
      </c>
      <c r="K33" s="123">
        <f t="shared" si="4"/>
        <v>0</v>
      </c>
      <c r="M33" s="282" t="str">
        <f t="shared" si="11"/>
        <v>_Q 20__</v>
      </c>
      <c r="N33" s="219">
        <f t="shared" si="7"/>
        <v>0</v>
      </c>
      <c r="O33" s="122">
        <f t="shared" si="8"/>
        <v>0</v>
      </c>
      <c r="P33" s="123">
        <f t="shared" si="9"/>
        <v>0</v>
      </c>
    </row>
    <row r="34" spans="1:16" s="840" customFormat="1">
      <c r="A34" s="837"/>
      <c r="B34" s="285"/>
      <c r="C34" s="285"/>
      <c r="D34" s="838"/>
      <c r="E34" s="838"/>
      <c r="F34" s="839"/>
      <c r="H34" s="285"/>
      <c r="I34" s="841"/>
      <c r="J34" s="842"/>
      <c r="K34" s="843"/>
      <c r="M34" s="285"/>
      <c r="N34" s="841"/>
      <c r="O34" s="842"/>
      <c r="P34" s="843"/>
    </row>
    <row r="35" spans="1:16" ht="14.45" customHeight="1">
      <c r="A35" s="11"/>
      <c r="B35" s="286"/>
      <c r="C35" s="16"/>
      <c r="D35" s="14"/>
      <c r="E35" s="14"/>
      <c r="F35" s="14"/>
      <c r="G35" s="479"/>
      <c r="H35" s="1440"/>
      <c r="I35" s="1440"/>
      <c r="J35" s="1440"/>
      <c r="K35" s="1440"/>
      <c r="L35" s="840"/>
      <c r="M35" s="285"/>
      <c r="N35" s="841"/>
      <c r="O35" s="842"/>
      <c r="P35" s="843"/>
    </row>
    <row r="36" spans="1:16" ht="14.45" customHeight="1">
      <c r="A36" s="11"/>
      <c r="B36" s="286"/>
      <c r="C36" s="1441" t="s">
        <v>851</v>
      </c>
      <c r="D36" s="1441"/>
      <c r="E36" s="1441"/>
      <c r="F36" s="1441"/>
      <c r="G36" s="1441"/>
      <c r="H36" s="1441"/>
      <c r="I36" s="1441"/>
      <c r="J36" s="1441"/>
      <c r="K36" s="1441"/>
      <c r="L36" s="840"/>
      <c r="M36" s="1291" t="s">
        <v>543</v>
      </c>
      <c r="N36" s="1379"/>
      <c r="O36" s="1379"/>
      <c r="P36" s="1292"/>
    </row>
    <row r="37" spans="1:16">
      <c r="C37" s="1442"/>
      <c r="D37" s="1442"/>
      <c r="E37" s="1442"/>
      <c r="F37" s="1442"/>
      <c r="G37" s="1442"/>
      <c r="H37" s="1442"/>
      <c r="I37" s="1442"/>
      <c r="J37" s="1442"/>
      <c r="K37" s="1442"/>
      <c r="L37" s="840"/>
      <c r="M37" s="552" t="s">
        <v>475</v>
      </c>
      <c r="N37" s="553" t="s">
        <v>24</v>
      </c>
      <c r="O37" s="554" t="s">
        <v>25</v>
      </c>
      <c r="P37" s="555" t="s">
        <v>26</v>
      </c>
    </row>
    <row r="38" spans="1:16">
      <c r="C38" s="1362"/>
      <c r="D38" s="1363"/>
      <c r="E38" s="1363"/>
      <c r="F38" s="1363"/>
      <c r="G38" s="1363"/>
      <c r="H38" s="1363"/>
      <c r="I38" s="1363"/>
      <c r="J38" s="1363"/>
      <c r="K38" s="1364"/>
      <c r="L38" s="840"/>
      <c r="M38" s="125" t="s">
        <v>29</v>
      </c>
      <c r="N38" s="915">
        <f>IFERROR(LOGEST(N14:N33,$A14:$A33)-1,0)</f>
        <v>0</v>
      </c>
      <c r="O38" s="916">
        <f>IFERROR(LOGEST(O14:O33,$A14:$A33)-1,0)</f>
        <v>0</v>
      </c>
      <c r="P38" s="582">
        <f>IFERROR(LOGEST(P14:P33,$A14:$A33)-1,0)</f>
        <v>0</v>
      </c>
    </row>
    <row r="39" spans="1:16">
      <c r="C39" s="1298"/>
      <c r="D39" s="1299"/>
      <c r="E39" s="1299"/>
      <c r="F39" s="1299"/>
      <c r="G39" s="1299"/>
      <c r="H39" s="1299"/>
      <c r="I39" s="1299"/>
      <c r="J39" s="1299"/>
      <c r="K39" s="1300"/>
      <c r="L39" s="840"/>
      <c r="M39" s="73" t="s">
        <v>30</v>
      </c>
      <c r="N39" s="75">
        <f>IFERROR(LOGEST(N18:N33,$A18:$A33)-1,0)</f>
        <v>0</v>
      </c>
      <c r="O39" s="76">
        <f>IFERROR(LOGEST(O18:O33,$A18:$A33)-1,0)</f>
        <v>0</v>
      </c>
      <c r="P39" s="77">
        <f>IFERROR(LOGEST(P18:P33,$A18:$A33)-1,0)</f>
        <v>0</v>
      </c>
    </row>
    <row r="40" spans="1:16">
      <c r="C40" s="1298"/>
      <c r="D40" s="1299"/>
      <c r="E40" s="1299"/>
      <c r="F40" s="1299"/>
      <c r="G40" s="1299"/>
      <c r="H40" s="1299"/>
      <c r="I40" s="1299"/>
      <c r="J40" s="1299"/>
      <c r="K40" s="1300"/>
      <c r="L40" s="840"/>
      <c r="M40" s="125" t="s">
        <v>31</v>
      </c>
      <c r="N40" s="124">
        <f>IFERROR(LOGEST(N22:N33,$A22:$A33)-1,0)</f>
        <v>0</v>
      </c>
      <c r="O40" s="127">
        <f>IFERROR(LOGEST(O22:O33,$A22:$A33)-1,0)</f>
        <v>0</v>
      </c>
      <c r="P40" s="128">
        <f>IFERROR(LOGEST(P22:P33,$A22:$A33)-1,0)</f>
        <v>0</v>
      </c>
    </row>
    <row r="41" spans="1:16">
      <c r="C41" s="1298"/>
      <c r="D41" s="1299"/>
      <c r="E41" s="1299"/>
      <c r="F41" s="1299"/>
      <c r="G41" s="1299"/>
      <c r="H41" s="1299"/>
      <c r="I41" s="1299"/>
      <c r="J41" s="1299"/>
      <c r="K41" s="1300"/>
      <c r="L41" s="840"/>
      <c r="M41" s="73" t="s">
        <v>32</v>
      </c>
      <c r="N41" s="75">
        <f>IFERROR(LOGEST(N26:N33,$A26:$A33)-1,0)</f>
        <v>0</v>
      </c>
      <c r="O41" s="76">
        <f>IFERROR(LOGEST(O26:O33,$A26:$A33)-1,0)</f>
        <v>0</v>
      </c>
      <c r="P41" s="77">
        <f>IFERROR(LOGEST(P26:P33,$A26:$A33)-1,0)</f>
        <v>0</v>
      </c>
    </row>
    <row r="42" spans="1:16">
      <c r="C42" s="1298"/>
      <c r="D42" s="1299"/>
      <c r="E42" s="1299"/>
      <c r="F42" s="1299"/>
      <c r="G42" s="1299"/>
      <c r="H42" s="1299"/>
      <c r="I42" s="1299"/>
      <c r="J42" s="1299"/>
      <c r="K42" s="1300"/>
      <c r="L42" s="840"/>
      <c r="M42" s="125" t="s">
        <v>50</v>
      </c>
      <c r="N42" s="124">
        <f>IFERROR(LOGEST(N28:N33,$A28:$A33)-1,0)</f>
        <v>0</v>
      </c>
      <c r="O42" s="127">
        <f>IFERROR(LOGEST(O28:O33,$A28:$A33)-1,0)</f>
        <v>0</v>
      </c>
      <c r="P42" s="128">
        <f>IFERROR(LOGEST(P28:P33,$A28:$A33)-1,0)</f>
        <v>0</v>
      </c>
    </row>
    <row r="43" spans="1:16">
      <c r="C43" s="1301"/>
      <c r="D43" s="1302"/>
      <c r="E43" s="1302"/>
      <c r="F43" s="1302"/>
      <c r="G43" s="1302"/>
      <c r="H43" s="1302"/>
      <c r="I43" s="1302"/>
      <c r="J43" s="1302"/>
      <c r="K43" s="1303"/>
      <c r="L43" s="840"/>
      <c r="M43" s="556" t="s">
        <v>35</v>
      </c>
      <c r="N43" s="219">
        <f>IFERROR(LOGEST(N30:N33,$A30:$A33)-1,0)</f>
        <v>0</v>
      </c>
      <c r="O43" s="196">
        <f>IFERROR(LOGEST(O30:O33,$A30:$A33)-1,0)</f>
        <v>0</v>
      </c>
      <c r="P43" s="78">
        <f>IFERROR(LOGEST(P30:P33,$A30:$A33)-1,0)</f>
        <v>0</v>
      </c>
    </row>
    <row r="44" spans="1:16">
      <c r="C44" s="441"/>
      <c r="D44" s="441"/>
      <c r="E44" s="441"/>
      <c r="F44" s="441"/>
      <c r="M44" s="1291" t="s">
        <v>899</v>
      </c>
      <c r="N44" s="1379"/>
      <c r="O44" s="1379"/>
      <c r="P44" s="1292"/>
    </row>
    <row r="45" spans="1:16">
      <c r="H45" s="425"/>
      <c r="I45" s="425"/>
      <c r="J45" s="425"/>
      <c r="K45" s="425"/>
      <c r="L45" s="444">
        <v>-5</v>
      </c>
      <c r="M45" s="40" t="s">
        <v>18</v>
      </c>
      <c r="N45" s="735"/>
      <c r="O45" s="736"/>
      <c r="P45" s="41">
        <f>(1+N45)*(1+O45)-1</f>
        <v>0</v>
      </c>
    </row>
    <row r="46" spans="1:16">
      <c r="H46" s="164"/>
      <c r="I46" s="164"/>
      <c r="J46" s="164"/>
      <c r="K46" s="164"/>
      <c r="L46" s="444">
        <f>L45-1</f>
        <v>-6</v>
      </c>
      <c r="M46" s="17" t="s">
        <v>19</v>
      </c>
      <c r="N46" s="737"/>
      <c r="O46" s="738"/>
      <c r="P46" s="39">
        <f>(1+N46)*(1+O46)-1</f>
        <v>0</v>
      </c>
    </row>
    <row r="47" spans="1:16">
      <c r="H47" s="426"/>
      <c r="I47" s="426"/>
      <c r="J47" s="426"/>
      <c r="K47" s="426"/>
    </row>
    <row r="48" spans="1:16">
      <c r="H48" s="425"/>
      <c r="I48" s="425"/>
      <c r="J48" s="425"/>
      <c r="K48" s="425"/>
    </row>
    <row r="49" spans="8:16">
      <c r="H49" s="425"/>
      <c r="I49" s="425"/>
      <c r="J49" s="425"/>
      <c r="K49" s="425"/>
    </row>
    <row r="50" spans="8:16">
      <c r="H50" s="164"/>
      <c r="I50" s="164"/>
      <c r="J50" s="164"/>
      <c r="K50" s="164"/>
    </row>
    <row r="51" spans="8:16">
      <c r="H51" s="164"/>
      <c r="I51" s="164"/>
      <c r="J51" s="164"/>
      <c r="K51" s="164"/>
      <c r="M51" s="14"/>
      <c r="N51" s="15"/>
      <c r="O51" s="15"/>
      <c r="P51" s="15"/>
    </row>
    <row r="52" spans="8:16">
      <c r="H52" s="164"/>
      <c r="I52" s="164"/>
      <c r="J52" s="164"/>
      <c r="K52" s="164"/>
    </row>
    <row r="53" spans="8:16">
      <c r="H53" s="164"/>
      <c r="I53" s="164"/>
      <c r="J53" s="164"/>
      <c r="K53" s="164"/>
    </row>
    <row r="54" spans="8:16">
      <c r="H54" s="164"/>
      <c r="I54" s="164"/>
      <c r="J54" s="164"/>
      <c r="K54" s="164"/>
      <c r="L54" s="425"/>
      <c r="M54" s="425"/>
      <c r="N54" s="164"/>
      <c r="O54" s="164"/>
      <c r="P54" s="164"/>
    </row>
    <row r="55" spans="8:16">
      <c r="H55" s="426"/>
      <c r="I55" s="426"/>
      <c r="J55" s="426"/>
      <c r="K55" s="164"/>
      <c r="L55" s="164"/>
      <c r="M55" s="425"/>
      <c r="N55" s="164"/>
      <c r="O55" s="164"/>
      <c r="P55" s="164"/>
    </row>
    <row r="56" spans="8:16">
      <c r="H56" s="425"/>
      <c r="I56" s="425"/>
      <c r="J56" s="425"/>
      <c r="K56" s="164"/>
      <c r="L56" s="426"/>
      <c r="M56" s="164"/>
      <c r="N56" s="164"/>
      <c r="O56" s="164"/>
      <c r="P56" s="164"/>
    </row>
    <row r="57" spans="8:16">
      <c r="H57" s="425"/>
      <c r="I57" s="425"/>
      <c r="J57" s="425"/>
      <c r="K57" s="164"/>
      <c r="L57" s="425"/>
      <c r="M57" s="426"/>
      <c r="N57" s="426"/>
      <c r="O57" s="426"/>
      <c r="P57" s="426"/>
    </row>
    <row r="58" spans="8:16">
      <c r="H58" s="425"/>
      <c r="I58" s="425"/>
      <c r="J58" s="425"/>
      <c r="K58" s="164"/>
      <c r="L58" s="425"/>
      <c r="M58" s="425"/>
      <c r="N58" s="425"/>
      <c r="O58" s="425"/>
      <c r="P58" s="425"/>
    </row>
    <row r="59" spans="8:16">
      <c r="H59" s="425"/>
      <c r="I59" s="425"/>
      <c r="J59" s="425"/>
      <c r="K59" s="164"/>
      <c r="L59" s="164"/>
      <c r="M59" s="425"/>
      <c r="N59" s="425"/>
      <c r="O59" s="425"/>
      <c r="P59" s="425"/>
    </row>
    <row r="60" spans="8:16">
      <c r="H60" s="425"/>
      <c r="I60" s="425"/>
      <c r="J60" s="425"/>
      <c r="K60" s="164"/>
      <c r="L60" s="164"/>
      <c r="M60" s="164"/>
      <c r="N60" s="164"/>
      <c r="O60" s="164"/>
      <c r="P60" s="164"/>
    </row>
    <row r="61" spans="8:16">
      <c r="H61" s="425"/>
      <c r="I61" s="425"/>
      <c r="J61" s="425"/>
      <c r="K61" s="164"/>
      <c r="L61" s="164"/>
      <c r="M61" s="164"/>
      <c r="N61" s="164"/>
      <c r="O61" s="164"/>
      <c r="P61" s="164"/>
    </row>
    <row r="62" spans="8:16">
      <c r="H62" s="425"/>
      <c r="I62" s="425"/>
      <c r="J62" s="425"/>
      <c r="K62" s="164"/>
      <c r="L62" s="164"/>
      <c r="M62" s="164"/>
      <c r="N62" s="164"/>
      <c r="O62" s="164"/>
      <c r="P62" s="164"/>
    </row>
    <row r="63" spans="8:16">
      <c r="H63" s="425"/>
      <c r="I63" s="425"/>
      <c r="J63" s="425"/>
      <c r="K63" s="164"/>
      <c r="L63" s="164"/>
      <c r="M63" s="164"/>
      <c r="N63" s="164"/>
      <c r="O63" s="164"/>
      <c r="P63" s="164"/>
    </row>
    <row r="64" spans="8:16">
      <c r="H64" s="425"/>
      <c r="I64" s="425"/>
      <c r="J64" s="425"/>
      <c r="K64" s="164"/>
      <c r="L64" s="164"/>
      <c r="M64" s="164"/>
      <c r="N64" s="164"/>
      <c r="O64" s="164"/>
      <c r="P64" s="164"/>
    </row>
    <row r="65" spans="8:16">
      <c r="H65" s="425"/>
      <c r="I65" s="425"/>
      <c r="J65" s="425"/>
      <c r="K65" s="164"/>
      <c r="L65" s="164"/>
      <c r="M65" s="164"/>
      <c r="N65" s="164"/>
      <c r="O65" s="164"/>
      <c r="P65" s="164"/>
    </row>
    <row r="66" spans="8:16">
      <c r="H66" s="425"/>
      <c r="I66" s="425"/>
      <c r="J66" s="425"/>
      <c r="K66" s="164"/>
      <c r="L66" s="164"/>
      <c r="M66" s="164"/>
      <c r="N66" s="164"/>
      <c r="O66" s="164"/>
      <c r="P66" s="164"/>
    </row>
    <row r="67" spans="8:16">
      <c r="H67" s="425"/>
      <c r="I67" s="425"/>
      <c r="J67" s="425"/>
      <c r="K67" s="164"/>
      <c r="L67" s="164"/>
      <c r="M67" s="164"/>
      <c r="N67" s="164"/>
      <c r="O67" s="164"/>
      <c r="P67" s="164"/>
    </row>
    <row r="68" spans="8:16">
      <c r="H68" s="425"/>
      <c r="I68" s="425"/>
      <c r="J68" s="425"/>
      <c r="K68" s="164"/>
      <c r="L68" s="164"/>
      <c r="M68" s="164"/>
      <c r="N68" s="164"/>
      <c r="O68" s="164"/>
      <c r="P68" s="164"/>
    </row>
    <row r="69" spans="8:16">
      <c r="H69" s="425"/>
      <c r="I69" s="425"/>
      <c r="J69" s="425"/>
      <c r="K69" s="164"/>
      <c r="L69" s="164"/>
      <c r="M69" s="164"/>
      <c r="N69" s="164"/>
      <c r="O69" s="164"/>
      <c r="P69" s="164"/>
    </row>
    <row r="70" spans="8:16">
      <c r="H70" s="425"/>
      <c r="I70" s="425"/>
      <c r="J70" s="425"/>
      <c r="K70" s="164"/>
      <c r="L70" s="164"/>
      <c r="M70" s="164"/>
      <c r="N70" s="164"/>
      <c r="O70" s="164"/>
      <c r="P70" s="164"/>
    </row>
    <row r="71" spans="8:16">
      <c r="H71" s="425"/>
      <c r="I71" s="425"/>
      <c r="J71" s="425"/>
      <c r="K71" s="164"/>
      <c r="L71" s="164"/>
      <c r="M71" s="164"/>
      <c r="N71" s="164"/>
      <c r="O71" s="164"/>
      <c r="P71" s="164"/>
    </row>
    <row r="72" spans="8:16">
      <c r="H72" s="425"/>
      <c r="I72" s="425"/>
      <c r="J72" s="425"/>
      <c r="K72" s="164"/>
      <c r="L72" s="164"/>
      <c r="M72" s="164"/>
      <c r="N72" s="164"/>
      <c r="O72" s="164"/>
      <c r="P72" s="164"/>
    </row>
    <row r="73" spans="8:16">
      <c r="H73" s="425"/>
      <c r="I73" s="425"/>
      <c r="J73" s="425"/>
      <c r="K73" s="164"/>
      <c r="L73" s="164"/>
      <c r="M73" s="164"/>
      <c r="N73" s="164"/>
      <c r="O73" s="164"/>
      <c r="P73" s="164"/>
    </row>
    <row r="74" spans="8:16">
      <c r="H74" s="425"/>
      <c r="I74" s="425"/>
      <c r="J74" s="425"/>
      <c r="K74" s="164"/>
      <c r="L74" s="164"/>
      <c r="M74" s="164"/>
      <c r="N74" s="164"/>
      <c r="O74" s="164"/>
      <c r="P74" s="164"/>
    </row>
    <row r="75" spans="8:16">
      <c r="H75" s="425"/>
      <c r="I75" s="425"/>
      <c r="J75" s="425"/>
      <c r="K75" s="164"/>
      <c r="L75" s="164"/>
      <c r="M75" s="164"/>
      <c r="N75" s="164"/>
      <c r="O75" s="164"/>
      <c r="P75" s="164"/>
    </row>
    <row r="76" spans="8:16">
      <c r="H76" s="425"/>
      <c r="I76" s="425"/>
      <c r="J76" s="425"/>
      <c r="K76" s="164"/>
      <c r="L76" s="164"/>
      <c r="M76" s="164"/>
      <c r="N76" s="164"/>
      <c r="O76" s="164"/>
      <c r="P76" s="164"/>
    </row>
    <row r="77" spans="8:16">
      <c r="H77" s="14"/>
      <c r="I77" s="14"/>
      <c r="J77" s="14"/>
      <c r="K77" s="14"/>
      <c r="L77" s="164"/>
      <c r="M77" s="164"/>
      <c r="N77" s="164"/>
      <c r="O77" s="164"/>
      <c r="P77" s="164"/>
    </row>
    <row r="78" spans="8:16">
      <c r="H78" s="14"/>
      <c r="I78" s="14"/>
      <c r="J78" s="14"/>
      <c r="K78" s="14"/>
      <c r="L78" s="164"/>
      <c r="M78" s="164"/>
      <c r="N78" s="164"/>
      <c r="O78" s="164"/>
      <c r="P78" s="164"/>
    </row>
    <row r="79" spans="8:16">
      <c r="H79" s="14"/>
      <c r="I79" s="14"/>
      <c r="J79" s="14"/>
      <c r="K79" s="14"/>
      <c r="L79" s="164"/>
      <c r="M79" s="164"/>
      <c r="N79" s="164"/>
      <c r="O79" s="164"/>
      <c r="P79" s="164"/>
    </row>
    <row r="80" spans="8:16">
      <c r="L80" s="164"/>
      <c r="M80" s="164"/>
      <c r="N80" s="164"/>
      <c r="O80" s="164"/>
      <c r="P80" s="164"/>
    </row>
    <row r="81" spans="12:16">
      <c r="L81" s="164"/>
      <c r="M81" s="164"/>
      <c r="N81" s="164"/>
      <c r="O81" s="164"/>
      <c r="P81" s="164"/>
    </row>
    <row r="82" spans="12:16">
      <c r="L82" s="164"/>
      <c r="M82" s="164"/>
      <c r="N82" s="164"/>
      <c r="O82" s="164"/>
      <c r="P82" s="164"/>
    </row>
    <row r="83" spans="12:16">
      <c r="L83" s="164"/>
      <c r="M83" s="164"/>
      <c r="N83" s="164"/>
      <c r="O83" s="164"/>
      <c r="P83" s="164"/>
    </row>
    <row r="84" spans="12:16">
      <c r="L84" s="164"/>
      <c r="M84" s="164"/>
      <c r="N84" s="164"/>
      <c r="O84" s="164"/>
      <c r="P84" s="164"/>
    </row>
    <row r="85" spans="12:16">
      <c r="L85" s="164"/>
      <c r="M85" s="164"/>
      <c r="N85" s="164"/>
      <c r="O85" s="164"/>
      <c r="P85" s="164"/>
    </row>
    <row r="86" spans="12:16">
      <c r="L86" s="14"/>
      <c r="M86" s="164"/>
      <c r="N86" s="164"/>
      <c r="O86" s="164"/>
      <c r="P86" s="164"/>
    </row>
    <row r="87" spans="12:16">
      <c r="L87" s="14"/>
      <c r="M87" s="14"/>
      <c r="N87" s="14"/>
      <c r="O87" s="14"/>
      <c r="P87" s="14"/>
    </row>
    <row r="88" spans="12:16">
      <c r="L88" s="14"/>
      <c r="M88" s="14"/>
      <c r="N88" s="14"/>
      <c r="O88" s="14"/>
      <c r="P88" s="14"/>
    </row>
    <row r="89" spans="12:16">
      <c r="M89" s="14"/>
      <c r="N89" s="14"/>
      <c r="O89" s="14"/>
      <c r="P89" s="14"/>
    </row>
  </sheetData>
  <sheetProtection sheet="1" objects="1" scenarios="1"/>
  <sortState ref="N70:N89">
    <sortCondition ref="N70"/>
  </sortState>
  <mergeCells count="11">
    <mergeCell ref="C4:E4"/>
    <mergeCell ref="M44:P44"/>
    <mergeCell ref="C8:F8"/>
    <mergeCell ref="M8:P8"/>
    <mergeCell ref="H8:K8"/>
    <mergeCell ref="M36:P36"/>
    <mergeCell ref="H35:K35"/>
    <mergeCell ref="C36:K37"/>
    <mergeCell ref="C38:K43"/>
    <mergeCell ref="O5:P5"/>
    <mergeCell ref="O4:P4"/>
  </mergeCells>
  <conditionalFormatting sqref="N45:O46 D10:F33">
    <cfRule type="expression" dxfId="83" priority="4">
      <formula>D10=""</formula>
    </cfRule>
  </conditionalFormatting>
  <conditionalFormatting sqref="C38">
    <cfRule type="expression" dxfId="82" priority="1">
      <formula>$C$38=""</formula>
    </cfRule>
  </conditionalFormatting>
  <printOptions horizontalCentered="1"/>
  <pageMargins left="0.4" right="0.4" top="0.5" bottom="0.25" header="0.3" footer="0.3"/>
  <pageSetup scale="74" orientation="landscape" r:id="rId1"/>
  <headerFooter>
    <oddFooter>&amp;LRevised 3/2013&amp;RPage &amp;P of &amp;N</oddFooter>
  </headerFooter>
  <ignoredErrors>
    <ignoredError sqref="Q38 Q37 L49 L47 N13:O33" formulaRange="1"/>
  </ignoredErrors>
</worksheet>
</file>

<file path=xl/worksheets/sheet15.xml><?xml version="1.0" encoding="utf-8"?>
<worksheet xmlns="http://schemas.openxmlformats.org/spreadsheetml/2006/main" xmlns:r="http://schemas.openxmlformats.org/officeDocument/2006/relationships">
  <sheetPr codeName="Sheet8">
    <pageSetUpPr fitToPage="1"/>
  </sheetPr>
  <dimension ref="A1:G47"/>
  <sheetViews>
    <sheetView showGridLines="0" workbookViewId="0">
      <pane ySplit="5" topLeftCell="A6" activePane="bottomLeft" state="frozen"/>
      <selection pane="bottomLeft"/>
    </sheetView>
  </sheetViews>
  <sheetFormatPr defaultColWidth="8.85546875" defaultRowHeight="15"/>
  <cols>
    <col min="1" max="1" width="3.140625" style="129" bestFit="1" customWidth="1"/>
    <col min="2" max="7" width="14.140625" style="129" customWidth="1"/>
    <col min="8" max="16384" width="8.85546875" style="129"/>
  </cols>
  <sheetData>
    <row r="1" spans="1:7" ht="17.25">
      <c r="B1" s="9" t="str">
        <f>'5A-Loss Trend'!C1</f>
        <v>Texas Department of Insurance</v>
      </c>
      <c r="G1" s="190" t="str">
        <f xml:space="preserve"> "Home - "&amp;MID(B4,9,2)</f>
        <v>Home - 5B</v>
      </c>
    </row>
    <row r="2" spans="1:7" ht="17.25">
      <c r="B2" s="9" t="str">
        <f>'5A-Loss Trend'!C2</f>
        <v>Property and Casualty Rate Filing Exhibits</v>
      </c>
    </row>
    <row r="4" spans="1:7" ht="15.75">
      <c r="B4" s="1330" t="s">
        <v>819</v>
      </c>
      <c r="C4" s="1331"/>
      <c r="D4" s="1332"/>
      <c r="F4" s="1120" t="s">
        <v>140</v>
      </c>
      <c r="G4" s="1121" t="str">
        <f>'5A-Loss Trend'!O4</f>
        <v/>
      </c>
    </row>
    <row r="5" spans="1:7">
      <c r="F5" s="1120" t="s">
        <v>787</v>
      </c>
      <c r="G5" s="1121" t="str">
        <f>'5A-Loss Trend'!O5</f>
        <v/>
      </c>
    </row>
    <row r="8" spans="1:7">
      <c r="B8" s="1368" t="s">
        <v>52</v>
      </c>
      <c r="C8" s="1369"/>
    </row>
    <row r="9" spans="1:7">
      <c r="A9" s="150">
        <v>-1</v>
      </c>
      <c r="B9" s="134" t="s">
        <v>18</v>
      </c>
      <c r="C9" s="1042">
        <f>'5A-Loss Trend'!P45</f>
        <v>0</v>
      </c>
    </row>
    <row r="10" spans="1:7">
      <c r="A10" s="150">
        <v>-2</v>
      </c>
      <c r="B10" s="135" t="s">
        <v>19</v>
      </c>
      <c r="C10" s="1043">
        <f>'5A-Loss Trend'!P46</f>
        <v>0</v>
      </c>
    </row>
    <row r="11" spans="1:7">
      <c r="B11" s="147"/>
      <c r="C11" s="148"/>
      <c r="D11" s="149"/>
    </row>
    <row r="13" spans="1:7">
      <c r="B13" s="137">
        <f>A10-1</f>
        <v>-3</v>
      </c>
      <c r="C13" s="138">
        <f>B13-1</f>
        <v>-4</v>
      </c>
      <c r="D13" s="138">
        <f>C13-1</f>
        <v>-5</v>
      </c>
      <c r="E13" s="138">
        <f t="shared" ref="E13:G13" si="0">D13-1</f>
        <v>-6</v>
      </c>
      <c r="F13" s="138">
        <f t="shared" si="0"/>
        <v>-7</v>
      </c>
      <c r="G13" s="138">
        <f t="shared" si="0"/>
        <v>-8</v>
      </c>
    </row>
    <row r="14" spans="1:7" ht="45">
      <c r="B14" s="145" t="str">
        <f>'3B-Premium Trend'!B14</f>
        <v>Accident Year Ending</v>
      </c>
      <c r="C14" s="145" t="s">
        <v>51</v>
      </c>
      <c r="D14" s="145" t="s">
        <v>54</v>
      </c>
      <c r="E14" s="145" t="s">
        <v>53</v>
      </c>
      <c r="F14" s="145" t="s">
        <v>55</v>
      </c>
      <c r="G14" s="145" t="s">
        <v>1</v>
      </c>
    </row>
    <row r="15" spans="1:7">
      <c r="B15" s="130" t="str">
        <f>'1-Indication'!A10</f>
        <v>__ /__ /20__</v>
      </c>
      <c r="C15" s="139">
        <f t="shared" ref="C15:C17" si="1">C16+1</f>
        <v>4</v>
      </c>
      <c r="D15" s="131">
        <f>(1+$C$9)^C15</f>
        <v>1</v>
      </c>
      <c r="E15" s="140">
        <f t="shared" ref="E15:E17" si="2">E16</f>
        <v>1.5</v>
      </c>
      <c r="F15" s="131">
        <f>(1+$C$10)^E15</f>
        <v>1</v>
      </c>
      <c r="G15" s="523">
        <f>D15*F15</f>
        <v>1</v>
      </c>
    </row>
    <row r="16" spans="1:7">
      <c r="B16" s="169" t="str">
        <f>'1-Indication'!A11</f>
        <v>__ /__ /20__</v>
      </c>
      <c r="C16" s="172">
        <f t="shared" si="1"/>
        <v>3</v>
      </c>
      <c r="D16" s="132">
        <f t="shared" ref="D16:D19" si="3">(1+$C$9)^C16</f>
        <v>1</v>
      </c>
      <c r="E16" s="173">
        <f t="shared" si="2"/>
        <v>1.5</v>
      </c>
      <c r="F16" s="132">
        <f t="shared" ref="F16:F19" si="4">(1+$C$10)^E16</f>
        <v>1</v>
      </c>
      <c r="G16" s="524">
        <f t="shared" ref="G16:G19" si="5">D16*F16</f>
        <v>1</v>
      </c>
    </row>
    <row r="17" spans="1:7">
      <c r="B17" s="141" t="str">
        <f>'1-Indication'!A12</f>
        <v>__ /__ /20__</v>
      </c>
      <c r="C17" s="142">
        <f t="shared" si="1"/>
        <v>2</v>
      </c>
      <c r="D17" s="131">
        <f t="shared" si="3"/>
        <v>1</v>
      </c>
      <c r="E17" s="136">
        <f t="shared" si="2"/>
        <v>1.5</v>
      </c>
      <c r="F17" s="131">
        <f t="shared" si="4"/>
        <v>1</v>
      </c>
      <c r="G17" s="525">
        <f t="shared" si="5"/>
        <v>1</v>
      </c>
    </row>
    <row r="18" spans="1:7">
      <c r="B18" s="169" t="str">
        <f>'1-Indication'!A13</f>
        <v>__ /__ /20__</v>
      </c>
      <c r="C18" s="172">
        <f>C19+1</f>
        <v>1</v>
      </c>
      <c r="D18" s="132">
        <f t="shared" si="3"/>
        <v>1</v>
      </c>
      <c r="E18" s="173">
        <f>E19</f>
        <v>1.5</v>
      </c>
      <c r="F18" s="132">
        <f t="shared" si="4"/>
        <v>1</v>
      </c>
      <c r="G18" s="524">
        <f t="shared" si="5"/>
        <v>1</v>
      </c>
    </row>
    <row r="19" spans="1:7">
      <c r="B19" s="143" t="str">
        <f>'1-Indication'!A14</f>
        <v>__ /__ /20__</v>
      </c>
      <c r="C19" s="144">
        <v>0</v>
      </c>
      <c r="D19" s="133">
        <f t="shared" si="3"/>
        <v>1</v>
      </c>
      <c r="E19" s="144">
        <f>(IF(AND('General Information'!B24='General Information'!G25,'General Information'!B26='General Information'!G25),'General Information'!B20+182.625,IF(AND('General Information'!B24='General Information'!G24,'General Information'!B26='General Information'!G25),'General Information'!B20+273.9375,IF(AND('General Information'!B24='General Information'!G25,'General Information'!B26='General Information'!G24),'General Information'!B20+273.9375,'General Information'!B20+365.25)))-('General Information'!B17-182.625))/365.25</f>
        <v>1.5</v>
      </c>
      <c r="F19" s="133">
        <f t="shared" si="4"/>
        <v>1</v>
      </c>
      <c r="G19" s="526">
        <f t="shared" si="5"/>
        <v>1</v>
      </c>
    </row>
    <row r="22" spans="1:7">
      <c r="A22" s="147">
        <f>G13-1</f>
        <v>-9</v>
      </c>
      <c r="B22" s="1386" t="s">
        <v>900</v>
      </c>
      <c r="C22" s="1387"/>
      <c r="D22" s="1387"/>
      <c r="E22" s="1387"/>
      <c r="F22" s="1387"/>
      <c r="G22" s="1388"/>
    </row>
    <row r="23" spans="1:7">
      <c r="B23" s="1389"/>
      <c r="C23" s="1390"/>
      <c r="D23" s="1390"/>
      <c r="E23" s="1390"/>
      <c r="F23" s="1390"/>
      <c r="G23" s="1391"/>
    </row>
    <row r="24" spans="1:7">
      <c r="B24" s="1389"/>
      <c r="C24" s="1390"/>
      <c r="D24" s="1390"/>
      <c r="E24" s="1390"/>
      <c r="F24" s="1390"/>
      <c r="G24" s="1391"/>
    </row>
    <row r="25" spans="1:7">
      <c r="B25" s="1362"/>
      <c r="C25" s="1363"/>
      <c r="D25" s="1363"/>
      <c r="E25" s="1363"/>
      <c r="F25" s="1363"/>
      <c r="G25" s="1364"/>
    </row>
    <row r="26" spans="1:7">
      <c r="B26" s="1298"/>
      <c r="C26" s="1299"/>
      <c r="D26" s="1299"/>
      <c r="E26" s="1299"/>
      <c r="F26" s="1299"/>
      <c r="G26" s="1300"/>
    </row>
    <row r="27" spans="1:7">
      <c r="B27" s="1298"/>
      <c r="C27" s="1299"/>
      <c r="D27" s="1299"/>
      <c r="E27" s="1299"/>
      <c r="F27" s="1299"/>
      <c r="G27" s="1300"/>
    </row>
    <row r="28" spans="1:7">
      <c r="B28" s="1298"/>
      <c r="C28" s="1299"/>
      <c r="D28" s="1299"/>
      <c r="E28" s="1299"/>
      <c r="F28" s="1299"/>
      <c r="G28" s="1300"/>
    </row>
    <row r="29" spans="1:7">
      <c r="B29" s="1298"/>
      <c r="C29" s="1299"/>
      <c r="D29" s="1299"/>
      <c r="E29" s="1299"/>
      <c r="F29" s="1299"/>
      <c r="G29" s="1300"/>
    </row>
    <row r="30" spans="1:7">
      <c r="B30" s="1298"/>
      <c r="C30" s="1299"/>
      <c r="D30" s="1299"/>
      <c r="E30" s="1299"/>
      <c r="F30" s="1299"/>
      <c r="G30" s="1300"/>
    </row>
    <row r="31" spans="1:7">
      <c r="B31" s="1298"/>
      <c r="C31" s="1299"/>
      <c r="D31" s="1299"/>
      <c r="E31" s="1299"/>
      <c r="F31" s="1299"/>
      <c r="G31" s="1300"/>
    </row>
    <row r="32" spans="1:7">
      <c r="B32" s="1298"/>
      <c r="C32" s="1299"/>
      <c r="D32" s="1299"/>
      <c r="E32" s="1299"/>
      <c r="F32" s="1299"/>
      <c r="G32" s="1300"/>
    </row>
    <row r="33" spans="1:7">
      <c r="B33" s="1298"/>
      <c r="C33" s="1299"/>
      <c r="D33" s="1299"/>
      <c r="E33" s="1299"/>
      <c r="F33" s="1299"/>
      <c r="G33" s="1300"/>
    </row>
    <row r="34" spans="1:7">
      <c r="B34" s="1298"/>
      <c r="C34" s="1299"/>
      <c r="D34" s="1299"/>
      <c r="E34" s="1299"/>
      <c r="F34" s="1299"/>
      <c r="G34" s="1300"/>
    </row>
    <row r="35" spans="1:7">
      <c r="B35" s="1298"/>
      <c r="C35" s="1299"/>
      <c r="D35" s="1299"/>
      <c r="E35" s="1299"/>
      <c r="F35" s="1299"/>
      <c r="G35" s="1300"/>
    </row>
    <row r="36" spans="1:7">
      <c r="B36" s="1298"/>
      <c r="C36" s="1299"/>
      <c r="D36" s="1299"/>
      <c r="E36" s="1299"/>
      <c r="F36" s="1299"/>
      <c r="G36" s="1300"/>
    </row>
    <row r="37" spans="1:7">
      <c r="B37" s="1298"/>
      <c r="C37" s="1299"/>
      <c r="D37" s="1299"/>
      <c r="E37" s="1299"/>
      <c r="F37" s="1299"/>
      <c r="G37" s="1300"/>
    </row>
    <row r="38" spans="1:7">
      <c r="B38" s="1301"/>
      <c r="C38" s="1302"/>
      <c r="D38" s="1302"/>
      <c r="E38" s="1302"/>
      <c r="F38" s="1302"/>
      <c r="G38" s="1303"/>
    </row>
    <row r="40" spans="1:7" ht="12" customHeight="1">
      <c r="A40" s="447" t="s">
        <v>158</v>
      </c>
      <c r="B40" s="204"/>
    </row>
    <row r="41" spans="1:7" ht="12" customHeight="1">
      <c r="A41" s="448">
        <f>A9</f>
        <v>-1</v>
      </c>
      <c r="B41" s="204" t="s">
        <v>695</v>
      </c>
    </row>
    <row r="42" spans="1:7" ht="12" customHeight="1">
      <c r="A42" s="448">
        <f>A10</f>
        <v>-2</v>
      </c>
      <c r="B42" s="204" t="s">
        <v>695</v>
      </c>
    </row>
    <row r="43" spans="1:7" ht="12" customHeight="1">
      <c r="A43" s="448">
        <f>C13</f>
        <v>-4</v>
      </c>
      <c r="B43" s="204" t="s">
        <v>909</v>
      </c>
    </row>
    <row r="44" spans="1:7" ht="14.65" customHeight="1">
      <c r="A44" s="448">
        <f>A43-1</f>
        <v>-5</v>
      </c>
      <c r="B44" s="449" t="s">
        <v>824</v>
      </c>
    </row>
    <row r="45" spans="1:7" ht="12" customHeight="1">
      <c r="A45" s="448">
        <f t="shared" ref="A45:A47" si="6">A44-1</f>
        <v>-6</v>
      </c>
      <c r="B45" s="204" t="s">
        <v>910</v>
      </c>
    </row>
    <row r="46" spans="1:7" ht="14.65" customHeight="1">
      <c r="A46" s="448">
        <f t="shared" si="6"/>
        <v>-7</v>
      </c>
      <c r="B46" s="449" t="s">
        <v>823</v>
      </c>
    </row>
    <row r="47" spans="1:7" ht="12" customHeight="1">
      <c r="A47" s="448">
        <f t="shared" si="6"/>
        <v>-8</v>
      </c>
      <c r="B47" s="449" t="s">
        <v>56</v>
      </c>
    </row>
  </sheetData>
  <sheetProtection sheet="1" objects="1" scenarios="1"/>
  <mergeCells count="4">
    <mergeCell ref="B8:C8"/>
    <mergeCell ref="B25:G38"/>
    <mergeCell ref="B22:G24"/>
    <mergeCell ref="B4:D4"/>
  </mergeCells>
  <conditionalFormatting sqref="B25">
    <cfRule type="expression" dxfId="81" priority="1">
      <formula>$B$25=""</formula>
    </cfRule>
  </conditionalFormatting>
  <printOptions horizontalCentered="1"/>
  <pageMargins left="0.5" right="0.5" top="0.5" bottom="0.5" header="0.3" footer="0.3"/>
  <pageSetup orientation="portrait" r:id="rId1"/>
  <headerFooter>
    <oddFooter>&amp;LRevised 3/2013&amp;RPage &amp;P of &amp;N</oddFooter>
  </headerFooter>
  <ignoredErrors>
    <ignoredError sqref="C10" unlockedFormula="1"/>
  </ignoredErrors>
</worksheet>
</file>

<file path=xl/worksheets/sheet16.xml><?xml version="1.0" encoding="utf-8"?>
<worksheet xmlns="http://schemas.openxmlformats.org/spreadsheetml/2006/main" xmlns:r="http://schemas.openxmlformats.org/officeDocument/2006/relationships">
  <sheetPr codeName="Sheet9">
    <pageSetUpPr fitToPage="1"/>
  </sheetPr>
  <dimension ref="A1:H7"/>
  <sheetViews>
    <sheetView showGridLines="0" workbookViewId="0">
      <pane ySplit="4" topLeftCell="A5" activePane="bottomLeft" state="frozen"/>
      <selection pane="bottomLeft"/>
    </sheetView>
  </sheetViews>
  <sheetFormatPr defaultRowHeight="15"/>
  <cols>
    <col min="5" max="5" width="8.85546875" customWidth="1"/>
    <col min="8" max="8" width="14" customWidth="1"/>
  </cols>
  <sheetData>
    <row r="1" spans="1:8" ht="17.25">
      <c r="A1" s="9" t="str">
        <f>'5A-Loss Trend'!C1</f>
        <v>Texas Department of Insurance</v>
      </c>
      <c r="H1" s="190" t="str">
        <f xml:space="preserve"> "Home - "&amp;MID(A4,9,2)</f>
        <v>Home - 5C</v>
      </c>
    </row>
    <row r="2" spans="1:8" ht="17.25">
      <c r="A2" s="9" t="str">
        <f>'5A-Loss Trend'!C2</f>
        <v>Property and Casualty Rate Filing Exhibits</v>
      </c>
    </row>
    <row r="3" spans="1:8">
      <c r="A3" s="8"/>
    </row>
    <row r="4" spans="1:8" ht="15.75">
      <c r="A4" s="1330" t="s">
        <v>820</v>
      </c>
      <c r="B4" s="1331"/>
      <c r="C4" s="1331"/>
      <c r="D4" s="1331"/>
      <c r="E4" s="1332"/>
      <c r="G4" s="1120" t="s">
        <v>140</v>
      </c>
      <c r="H4" s="1121" t="str">
        <f>'5B-Loss Trend'!G4</f>
        <v/>
      </c>
    </row>
    <row r="5" spans="1:8">
      <c r="G5" s="1120" t="s">
        <v>787</v>
      </c>
      <c r="H5" s="1121" t="str">
        <f>'5B-Loss Trend'!G5</f>
        <v/>
      </c>
    </row>
    <row r="6" spans="1:8" s="963" customFormat="1">
      <c r="A6" s="1006" t="s">
        <v>731</v>
      </c>
      <c r="G6" s="331"/>
      <c r="H6" s="1007"/>
    </row>
    <row r="7" spans="1:8" ht="15.75">
      <c r="A7" s="10"/>
    </row>
  </sheetData>
  <sheetProtection sheet="1" objects="1" scenarios="1"/>
  <mergeCells count="1">
    <mergeCell ref="A4:E4"/>
  </mergeCells>
  <printOptions horizontalCentered="1"/>
  <pageMargins left="0.5" right="0.5" top="0.5" bottom="0.5" header="0.3" footer="0.3"/>
  <pageSetup scale="87" orientation="portrait" r:id="rId1"/>
  <headerFooter>
    <oddFooter>&amp;LRevised 3/2013&amp;RPage &amp;P of &amp;N</oddFooter>
  </headerFooter>
  <drawing r:id="rId2"/>
</worksheet>
</file>

<file path=xl/worksheets/sheet17.xml><?xml version="1.0" encoding="utf-8"?>
<worksheet xmlns="http://schemas.openxmlformats.org/spreadsheetml/2006/main" xmlns:r="http://schemas.openxmlformats.org/officeDocument/2006/relationships">
  <sheetPr codeName="Sheet10">
    <pageSetUpPr fitToPage="1"/>
  </sheetPr>
  <dimension ref="A1:M72"/>
  <sheetViews>
    <sheetView showGridLines="0" topLeftCell="B1" workbookViewId="0">
      <pane ySplit="4" topLeftCell="A5" activePane="bottomLeft" state="frozen"/>
      <selection pane="bottomLeft"/>
    </sheetView>
  </sheetViews>
  <sheetFormatPr defaultColWidth="8.85546875" defaultRowHeight="15"/>
  <cols>
    <col min="1" max="1" width="8.85546875" style="6" hidden="1" customWidth="1"/>
    <col min="2" max="2" width="3" style="6" customWidth="1"/>
    <col min="3" max="3" width="17.140625" style="6" customWidth="1"/>
    <col min="4" max="4" width="17.85546875" style="6" customWidth="1"/>
    <col min="5" max="5" width="17.85546875" style="6" bestFit="1" customWidth="1"/>
    <col min="6" max="12" width="8.85546875" style="6"/>
    <col min="13" max="13" width="14" style="6" customWidth="1"/>
    <col min="14" max="16384" width="8.85546875" style="6"/>
  </cols>
  <sheetData>
    <row r="1" spans="1:13" ht="17.25">
      <c r="C1" s="9" t="str">
        <f>'1-Indication'!A1</f>
        <v>Texas Department of Insurance</v>
      </c>
      <c r="M1" s="190" t="str">
        <f xml:space="preserve"> "Home - "&amp;MID(C4,9,1)</f>
        <v>Home - 6</v>
      </c>
    </row>
    <row r="2" spans="1:13" ht="17.25">
      <c r="C2" s="9" t="str">
        <f>'1-Indication'!A2</f>
        <v>Property and Casualty Rate Filing Exhibits</v>
      </c>
    </row>
    <row r="3" spans="1:13" ht="15.75">
      <c r="C3" s="3"/>
      <c r="D3" s="3"/>
      <c r="E3" s="3"/>
      <c r="F3" s="3"/>
      <c r="G3" s="3"/>
      <c r="H3" s="3"/>
      <c r="I3" s="3"/>
      <c r="J3" s="3"/>
      <c r="K3" s="3"/>
      <c r="L3" s="3"/>
      <c r="M3" s="3"/>
    </row>
    <row r="4" spans="1:13" ht="15.75">
      <c r="C4" s="185" t="s">
        <v>484</v>
      </c>
      <c r="D4" s="186"/>
      <c r="E4" s="3"/>
      <c r="F4" s="3"/>
      <c r="G4" s="3"/>
      <c r="H4" s="3"/>
      <c r="I4" s="3"/>
      <c r="J4" s="3"/>
      <c r="L4" s="1120" t="s">
        <v>140</v>
      </c>
      <c r="M4" s="1121" t="str">
        <f>'5C-Loss Trend'!H4</f>
        <v/>
      </c>
    </row>
    <row r="5" spans="1:13">
      <c r="C5" s="4"/>
      <c r="D5" s="4"/>
      <c r="E5" s="4"/>
      <c r="F5" s="4"/>
      <c r="G5" s="4"/>
      <c r="H5" s="4"/>
      <c r="I5" s="4"/>
      <c r="J5" s="4"/>
      <c r="L5" s="1120" t="s">
        <v>787</v>
      </c>
      <c r="M5" s="1121" t="str">
        <f>'5C-Loss Trend'!H5</f>
        <v/>
      </c>
    </row>
    <row r="6" spans="1:13">
      <c r="C6" s="958" t="s">
        <v>731</v>
      </c>
      <c r="D6" s="4"/>
      <c r="E6" s="4"/>
      <c r="F6" s="4"/>
      <c r="G6" s="4"/>
      <c r="H6" s="4"/>
      <c r="I6" s="4"/>
      <c r="J6" s="4"/>
      <c r="L6" s="331"/>
      <c r="M6" s="332"/>
    </row>
    <row r="7" spans="1:13">
      <c r="C7" s="4"/>
      <c r="D7" s="4"/>
      <c r="E7" s="4"/>
      <c r="F7" s="4"/>
      <c r="G7" s="4"/>
      <c r="H7" s="4"/>
      <c r="I7" s="4"/>
      <c r="J7" s="4"/>
      <c r="L7" s="331"/>
      <c r="M7" s="332"/>
    </row>
    <row r="8" spans="1:13">
      <c r="C8" s="445">
        <v>-1</v>
      </c>
      <c r="D8" s="445">
        <f>C8-1</f>
        <v>-2</v>
      </c>
      <c r="E8" s="445">
        <f>D8-1</f>
        <v>-3</v>
      </c>
      <c r="F8" s="4"/>
      <c r="G8" s="4"/>
      <c r="H8" s="4"/>
      <c r="I8" s="4"/>
      <c r="J8" s="4"/>
      <c r="K8" s="4"/>
      <c r="L8" s="4"/>
      <c r="M8" s="4"/>
    </row>
    <row r="9" spans="1:13" ht="45.6" customHeight="1">
      <c r="A9" s="6" t="s">
        <v>33</v>
      </c>
      <c r="C9" s="810" t="str">
        <f>'1-Indication'!A9</f>
        <v>Accident Year Ending</v>
      </c>
      <c r="D9" s="974" t="str">
        <f>IF('General Information'!B15='General Information'!G17,"Untrended
Non-Cat Loss
Ratio","Untrended
Non-Cat
Loss &amp; DCCE Ratio")</f>
        <v>Untrended
Non-Cat
Loss &amp; DCCE Ratio</v>
      </c>
      <c r="E9" s="974" t="str">
        <f>IF('General Information'!B15='General Information'!G17,"Projected
Non-Cat Loss
Ratio","Projected
Non-Cat
Loss &amp; DCCE Ratio")</f>
        <v>Projected
Non-Cat
Loss &amp; DCCE Ratio</v>
      </c>
      <c r="F9" s="4"/>
      <c r="G9" s="4"/>
      <c r="H9" s="4"/>
      <c r="I9" s="4"/>
      <c r="J9" s="4"/>
      <c r="K9" s="4"/>
      <c r="L9" s="4"/>
      <c r="M9" s="4"/>
    </row>
    <row r="10" spans="1:13">
      <c r="A10" s="6">
        <v>1</v>
      </c>
      <c r="C10" s="174" t="str">
        <f>'1-Indication'!A10</f>
        <v>__ /__ /20__</v>
      </c>
      <c r="D10" s="175">
        <f>IFERROR(('1-Indication'!F10*'1-Indication'!G10)/('1-Indication'!B10*'1-Indication'!C10),0)</f>
        <v>0</v>
      </c>
      <c r="E10" s="175">
        <f>'1-Indication'!J10</f>
        <v>0</v>
      </c>
      <c r="F10" s="4"/>
      <c r="G10" s="4"/>
      <c r="H10" s="4"/>
      <c r="I10" s="4"/>
      <c r="J10" s="4"/>
      <c r="K10" s="4"/>
      <c r="L10" s="4"/>
      <c r="M10" s="4"/>
    </row>
    <row r="11" spans="1:13">
      <c r="A11" s="6">
        <v>2</v>
      </c>
      <c r="C11" s="67" t="str">
        <f>'1-Indication'!A11</f>
        <v>__ /__ /20__</v>
      </c>
      <c r="D11" s="920">
        <f>IFERROR(('1-Indication'!F11*'1-Indication'!G11)/('1-Indication'!B11*'1-Indication'!C11),0)</f>
        <v>0</v>
      </c>
      <c r="E11" s="69">
        <f>'1-Indication'!J11</f>
        <v>0</v>
      </c>
      <c r="F11" s="4"/>
      <c r="G11" s="4"/>
      <c r="H11" s="4"/>
      <c r="I11" s="4"/>
      <c r="J11" s="4"/>
      <c r="K11" s="4"/>
      <c r="L11" s="4"/>
      <c r="M11" s="4"/>
    </row>
    <row r="12" spans="1:13">
      <c r="A12" s="6">
        <v>3</v>
      </c>
      <c r="C12" s="176" t="str">
        <f>'1-Indication'!A12</f>
        <v>__ /__ /20__</v>
      </c>
      <c r="D12" s="175">
        <f>IFERROR(('1-Indication'!F12*'1-Indication'!G12)/('1-Indication'!B12*'1-Indication'!C12),0)</f>
        <v>0</v>
      </c>
      <c r="E12" s="79">
        <f>'1-Indication'!J12</f>
        <v>0</v>
      </c>
      <c r="F12" s="4"/>
      <c r="G12" s="4"/>
      <c r="H12" s="4"/>
      <c r="I12" s="4"/>
      <c r="J12" s="4"/>
      <c r="K12" s="4"/>
      <c r="L12" s="4"/>
      <c r="M12" s="4"/>
    </row>
    <row r="13" spans="1:13">
      <c r="A13" s="6">
        <v>4</v>
      </c>
      <c r="C13" s="67" t="str">
        <f>'1-Indication'!A13</f>
        <v>__ /__ /20__</v>
      </c>
      <c r="D13" s="920">
        <f>IFERROR(('1-Indication'!F13*'1-Indication'!G13)/('1-Indication'!B13*'1-Indication'!C13),0)</f>
        <v>0</v>
      </c>
      <c r="E13" s="69">
        <f>'1-Indication'!J13</f>
        <v>0</v>
      </c>
      <c r="F13" s="4"/>
      <c r="G13" s="4"/>
      <c r="H13" s="4"/>
      <c r="I13" s="4"/>
      <c r="J13" s="4"/>
      <c r="K13" s="4"/>
      <c r="L13" s="4"/>
      <c r="M13" s="4"/>
    </row>
    <row r="14" spans="1:13">
      <c r="A14" s="6">
        <v>5</v>
      </c>
      <c r="C14" s="177" t="str">
        <f>'1-Indication'!A14</f>
        <v>__ /__ /20__</v>
      </c>
      <c r="D14" s="921">
        <f>IFERROR(('1-Indication'!F14*'1-Indication'!G14)/('1-Indication'!B14*'1-Indication'!C14),0)</f>
        <v>0</v>
      </c>
      <c r="E14" s="178">
        <f>'1-Indication'!J14</f>
        <v>0</v>
      </c>
      <c r="F14" s="4"/>
      <c r="G14" s="4"/>
      <c r="H14" s="4"/>
      <c r="I14" s="4"/>
      <c r="J14" s="4"/>
      <c r="K14" s="4"/>
      <c r="L14" s="4"/>
      <c r="M14" s="4"/>
    </row>
    <row r="15" spans="1:13">
      <c r="C15" s="4"/>
      <c r="D15" s="4"/>
      <c r="E15" s="4"/>
      <c r="F15" s="4"/>
      <c r="G15" s="4"/>
      <c r="H15" s="4"/>
      <c r="I15" s="4"/>
      <c r="J15" s="4"/>
      <c r="K15" s="4"/>
      <c r="L15" s="4"/>
      <c r="M15" s="4"/>
    </row>
    <row r="16" spans="1:13">
      <c r="E16" s="4"/>
      <c r="F16" s="4"/>
      <c r="G16" s="4"/>
      <c r="H16" s="4"/>
      <c r="I16" s="4"/>
      <c r="J16" s="4"/>
      <c r="K16" s="4"/>
      <c r="L16" s="4"/>
      <c r="M16" s="4"/>
    </row>
    <row r="17" spans="2:13">
      <c r="C17" s="1443" t="s">
        <v>16</v>
      </c>
      <c r="D17" s="1444"/>
      <c r="E17" s="5"/>
      <c r="F17" s="4"/>
      <c r="G17" s="4"/>
      <c r="H17" s="4"/>
      <c r="I17" s="4"/>
      <c r="J17" s="4"/>
      <c r="K17" s="4"/>
      <c r="L17" s="4"/>
      <c r="M17" s="4"/>
    </row>
    <row r="18" spans="2:13">
      <c r="C18" s="179" t="s">
        <v>21</v>
      </c>
      <c r="D18" s="175">
        <f>IFERROR(LOGEST(D10:D14,A10:A14)-1,0)</f>
        <v>0</v>
      </c>
      <c r="E18" s="5"/>
      <c r="F18" s="4"/>
      <c r="G18" s="4"/>
      <c r="H18" s="4"/>
      <c r="I18" s="4"/>
      <c r="J18" s="4"/>
      <c r="K18" s="4"/>
      <c r="L18" s="4"/>
      <c r="M18" s="4"/>
    </row>
    <row r="19" spans="2:13">
      <c r="C19" s="71" t="s">
        <v>20</v>
      </c>
      <c r="D19" s="69">
        <f>IFERROR(LOGEST(D11:D14,A11:A14)-1,0)</f>
        <v>0</v>
      </c>
      <c r="E19" s="5"/>
      <c r="F19" s="4"/>
      <c r="G19" s="4"/>
      <c r="H19" s="4"/>
      <c r="I19" s="4"/>
      <c r="J19" s="4"/>
      <c r="K19" s="4"/>
      <c r="L19" s="4"/>
      <c r="M19" s="4"/>
    </row>
    <row r="20" spans="2:13">
      <c r="C20" s="180" t="s">
        <v>22</v>
      </c>
      <c r="D20" s="79">
        <f>IFERROR(LOGEST(D12:D14,A12:A14)-1,0)</f>
        <v>0</v>
      </c>
      <c r="E20" s="4"/>
      <c r="F20" s="4"/>
      <c r="G20" s="4"/>
      <c r="H20" s="4"/>
      <c r="I20" s="4"/>
      <c r="J20" s="4"/>
      <c r="K20" s="4"/>
      <c r="L20" s="4"/>
      <c r="M20" s="4"/>
    </row>
    <row r="21" spans="2:13">
      <c r="C21" s="181" t="s">
        <v>23</v>
      </c>
      <c r="D21" s="70">
        <f>IFERROR(LOGEST(D13:D14,A13:A14)-1,0)</f>
        <v>0</v>
      </c>
      <c r="E21" s="4"/>
      <c r="F21" s="4"/>
      <c r="G21" s="4"/>
      <c r="H21" s="4"/>
      <c r="I21" s="4"/>
      <c r="J21" s="4"/>
      <c r="K21" s="4"/>
      <c r="L21" s="4"/>
      <c r="M21" s="4"/>
    </row>
    <row r="22" spans="2:13">
      <c r="E22" s="4"/>
      <c r="F22" s="4"/>
      <c r="G22" s="4"/>
      <c r="H22" s="4"/>
      <c r="I22" s="4"/>
      <c r="J22" s="4"/>
      <c r="K22" s="4"/>
      <c r="L22" s="4"/>
      <c r="M22" s="4"/>
    </row>
    <row r="23" spans="2:13">
      <c r="E23" s="5"/>
      <c r="F23" s="4"/>
      <c r="G23" s="4"/>
      <c r="H23" s="4"/>
      <c r="I23" s="4"/>
      <c r="J23" s="4"/>
      <c r="K23" s="4"/>
      <c r="L23" s="4"/>
      <c r="M23" s="4"/>
    </row>
    <row r="24" spans="2:13">
      <c r="C24" s="1443" t="s">
        <v>149</v>
      </c>
      <c r="D24" s="1444"/>
      <c r="E24" s="4"/>
      <c r="F24" s="4"/>
      <c r="G24" s="4"/>
      <c r="H24" s="4"/>
      <c r="I24" s="4"/>
      <c r="J24" s="4"/>
      <c r="K24" s="4"/>
      <c r="L24" s="4"/>
      <c r="M24" s="4"/>
    </row>
    <row r="25" spans="2:13">
      <c r="B25" s="446">
        <f>E8-1</f>
        <v>-4</v>
      </c>
      <c r="C25" s="90" t="s">
        <v>18</v>
      </c>
      <c r="D25" s="91">
        <f>(1+'5B-Loss Trend'!C9)/(1+'3B-Premium Trend'!C9)-1</f>
        <v>0</v>
      </c>
      <c r="F25" s="4"/>
      <c r="G25" s="4"/>
      <c r="H25" s="4"/>
      <c r="I25" s="4"/>
      <c r="J25" s="4"/>
      <c r="K25" s="4"/>
      <c r="L25" s="4"/>
      <c r="M25" s="4"/>
    </row>
    <row r="26" spans="2:13">
      <c r="B26" s="446">
        <f>B25-1</f>
        <v>-5</v>
      </c>
      <c r="C26" s="7" t="s">
        <v>19</v>
      </c>
      <c r="D26" s="72">
        <f>(1+'5B-Loss Trend'!C10)/(1+'3B-Premium Trend'!C10)-1</f>
        <v>0</v>
      </c>
      <c r="F26" s="4"/>
      <c r="G26" s="4"/>
      <c r="H26" s="4"/>
      <c r="I26" s="4"/>
      <c r="J26" s="4"/>
      <c r="K26" s="4"/>
      <c r="L26" s="4"/>
      <c r="M26" s="4"/>
    </row>
    <row r="27" spans="2:13">
      <c r="C27" s="4"/>
      <c r="D27" s="4"/>
      <c r="E27" s="4"/>
      <c r="F27" s="4"/>
      <c r="G27" s="4"/>
      <c r="H27" s="4"/>
      <c r="I27" s="4"/>
      <c r="J27" s="4"/>
      <c r="K27" s="4"/>
      <c r="L27" s="4"/>
      <c r="M27" s="4"/>
    </row>
    <row r="28" spans="2:13">
      <c r="C28" s="4"/>
      <c r="D28" s="4"/>
      <c r="E28" s="4"/>
      <c r="F28" s="4"/>
      <c r="G28" s="4"/>
      <c r="H28" s="4"/>
      <c r="I28" s="4"/>
      <c r="J28" s="4"/>
      <c r="K28" s="4"/>
      <c r="L28" s="4"/>
      <c r="M28" s="4"/>
    </row>
    <row r="29" spans="2:13" s="846" customFormat="1" ht="12" customHeight="1">
      <c r="B29" s="447" t="s">
        <v>158</v>
      </c>
    </row>
    <row r="30" spans="2:13" s="846" customFormat="1" ht="12" customHeight="1">
      <c r="B30" s="448">
        <v>-1</v>
      </c>
      <c r="C30" s="204" t="s">
        <v>517</v>
      </c>
    </row>
    <row r="31" spans="2:13" s="846" customFormat="1" ht="12" customHeight="1">
      <c r="B31" s="448">
        <f>B30-1</f>
        <v>-2</v>
      </c>
      <c r="C31" s="204" t="s">
        <v>736</v>
      </c>
    </row>
    <row r="32" spans="2:13" s="846" customFormat="1" ht="12" customHeight="1">
      <c r="B32" s="448">
        <f t="shared" ref="B32:B34" si="0">B31-1</f>
        <v>-3</v>
      </c>
      <c r="C32" s="204" t="s">
        <v>517</v>
      </c>
    </row>
    <row r="33" spans="2:5" s="846" customFormat="1" ht="12" customHeight="1">
      <c r="B33" s="448">
        <f t="shared" si="0"/>
        <v>-4</v>
      </c>
      <c r="C33" s="449" t="s">
        <v>755</v>
      </c>
    </row>
    <row r="34" spans="2:5" s="846" customFormat="1" ht="12" customHeight="1">
      <c r="B34" s="448">
        <f t="shared" si="0"/>
        <v>-5</v>
      </c>
      <c r="C34" s="449" t="s">
        <v>756</v>
      </c>
    </row>
    <row r="35" spans="2:5">
      <c r="B35" s="147"/>
      <c r="C35" s="2"/>
    </row>
    <row r="36" spans="2:5">
      <c r="B36" s="147"/>
      <c r="C36" s="2"/>
    </row>
    <row r="45" spans="2:5" s="1102" customFormat="1" ht="45">
      <c r="C45" s="1102" t="s">
        <v>465</v>
      </c>
      <c r="D45" s="1102" t="s">
        <v>26</v>
      </c>
      <c r="E45" s="1103" t="s">
        <v>595</v>
      </c>
    </row>
    <row r="46" spans="2:5" s="1102" customFormat="1">
      <c r="B46" s="1104">
        <f>'5A-Loss Trend'!B13</f>
        <v>-1826.25</v>
      </c>
      <c r="C46" s="1105">
        <f>'3A-Premium Trend'!H12</f>
        <v>0</v>
      </c>
      <c r="D46" s="1102">
        <f>'5A-Loss Trend'!P13</f>
        <v>0</v>
      </c>
      <c r="E46" s="1106" t="e">
        <f t="shared" ref="E46:E66" si="1">D46/C46</f>
        <v>#DIV/0!</v>
      </c>
    </row>
    <row r="47" spans="2:5" s="1102" customFormat="1">
      <c r="B47" s="1104">
        <f>'5A-Loss Trend'!B14</f>
        <v>-1734.9375</v>
      </c>
      <c r="C47" s="1105">
        <f>'3A-Premium Trend'!H13</f>
        <v>0</v>
      </c>
      <c r="D47" s="1102">
        <f>'5A-Loss Trend'!P14</f>
        <v>0</v>
      </c>
      <c r="E47" s="1106" t="e">
        <f t="shared" si="1"/>
        <v>#DIV/0!</v>
      </c>
    </row>
    <row r="48" spans="2:5" s="1102" customFormat="1">
      <c r="B48" s="1104">
        <f>'5A-Loss Trend'!B15</f>
        <v>-1643.625</v>
      </c>
      <c r="C48" s="1105">
        <f>'3A-Premium Trend'!H14</f>
        <v>0</v>
      </c>
      <c r="D48" s="1102">
        <f>'5A-Loss Trend'!P15</f>
        <v>0</v>
      </c>
      <c r="E48" s="1106" t="e">
        <f t="shared" si="1"/>
        <v>#DIV/0!</v>
      </c>
    </row>
    <row r="49" spans="2:6" s="1102" customFormat="1">
      <c r="B49" s="1104">
        <f>'5A-Loss Trend'!B16</f>
        <v>-1552.3125</v>
      </c>
      <c r="C49" s="1105">
        <f>'3A-Premium Trend'!H15</f>
        <v>0</v>
      </c>
      <c r="D49" s="1102">
        <f>'5A-Loss Trend'!P16</f>
        <v>0</v>
      </c>
      <c r="E49" s="1106" t="e">
        <f t="shared" si="1"/>
        <v>#DIV/0!</v>
      </c>
      <c r="F49" s="1105"/>
    </row>
    <row r="50" spans="2:6" s="1102" customFormat="1">
      <c r="B50" s="1104">
        <f>'5A-Loss Trend'!B17</f>
        <v>-1461</v>
      </c>
      <c r="C50" s="1105">
        <f>'3A-Premium Trend'!H16</f>
        <v>0</v>
      </c>
      <c r="D50" s="1102">
        <f>'5A-Loss Trend'!P17</f>
        <v>0</v>
      </c>
      <c r="E50" s="1106" t="e">
        <f t="shared" si="1"/>
        <v>#DIV/0!</v>
      </c>
      <c r="F50" s="1105"/>
    </row>
    <row r="51" spans="2:6" s="1102" customFormat="1">
      <c r="B51" s="1104">
        <f>'5A-Loss Trend'!B18</f>
        <v>-1369.6875</v>
      </c>
      <c r="C51" s="1105">
        <f>'3A-Premium Trend'!H17</f>
        <v>0</v>
      </c>
      <c r="D51" s="1102">
        <f>'5A-Loss Trend'!P18</f>
        <v>0</v>
      </c>
      <c r="E51" s="1106" t="e">
        <f t="shared" si="1"/>
        <v>#DIV/0!</v>
      </c>
      <c r="F51" s="1105"/>
    </row>
    <row r="52" spans="2:6" s="1102" customFormat="1">
      <c r="B52" s="1104">
        <f>'5A-Loss Trend'!B19</f>
        <v>-1278.375</v>
      </c>
      <c r="C52" s="1105">
        <f>'3A-Premium Trend'!H18</f>
        <v>0</v>
      </c>
      <c r="D52" s="1102">
        <f>'5A-Loss Trend'!P19</f>
        <v>0</v>
      </c>
      <c r="E52" s="1106" t="e">
        <f t="shared" si="1"/>
        <v>#DIV/0!</v>
      </c>
      <c r="F52" s="1105"/>
    </row>
    <row r="53" spans="2:6" s="1102" customFormat="1">
      <c r="B53" s="1104">
        <f>'5A-Loss Trend'!B20</f>
        <v>-1187.0625</v>
      </c>
      <c r="C53" s="1105">
        <f>'3A-Premium Trend'!H19</f>
        <v>0</v>
      </c>
      <c r="D53" s="1102">
        <f>'5A-Loss Trend'!P20</f>
        <v>0</v>
      </c>
      <c r="E53" s="1106" t="e">
        <f t="shared" si="1"/>
        <v>#DIV/0!</v>
      </c>
      <c r="F53" s="1105"/>
    </row>
    <row r="54" spans="2:6" s="1102" customFormat="1">
      <c r="B54" s="1104">
        <f>'5A-Loss Trend'!B21</f>
        <v>-1095.75</v>
      </c>
      <c r="C54" s="1105">
        <f>'3A-Premium Trend'!H20</f>
        <v>0</v>
      </c>
      <c r="D54" s="1102">
        <f>'5A-Loss Trend'!P21</f>
        <v>0</v>
      </c>
      <c r="E54" s="1106" t="e">
        <f t="shared" si="1"/>
        <v>#DIV/0!</v>
      </c>
      <c r="F54" s="1105"/>
    </row>
    <row r="55" spans="2:6" s="1102" customFormat="1">
      <c r="B55" s="1104">
        <f>'5A-Loss Trend'!B22</f>
        <v>-1004.4375</v>
      </c>
      <c r="C55" s="1105">
        <f>'3A-Premium Trend'!H21</f>
        <v>0</v>
      </c>
      <c r="D55" s="1102">
        <f>'5A-Loss Trend'!P22</f>
        <v>0</v>
      </c>
      <c r="E55" s="1106" t="e">
        <f t="shared" si="1"/>
        <v>#DIV/0!</v>
      </c>
      <c r="F55" s="1105"/>
    </row>
    <row r="56" spans="2:6" s="1102" customFormat="1">
      <c r="B56" s="1104">
        <f>'5A-Loss Trend'!B23</f>
        <v>-913.125</v>
      </c>
      <c r="C56" s="1105">
        <f>'3A-Premium Trend'!H22</f>
        <v>0</v>
      </c>
      <c r="D56" s="1102">
        <f>'5A-Loss Trend'!P23</f>
        <v>0</v>
      </c>
      <c r="E56" s="1106" t="e">
        <f t="shared" si="1"/>
        <v>#DIV/0!</v>
      </c>
      <c r="F56" s="1105"/>
    </row>
    <row r="57" spans="2:6" s="1102" customFormat="1">
      <c r="B57" s="1104">
        <f>'5A-Loss Trend'!B24</f>
        <v>-821.8125</v>
      </c>
      <c r="C57" s="1105">
        <f>'3A-Premium Trend'!H23</f>
        <v>0</v>
      </c>
      <c r="D57" s="1102">
        <f>'5A-Loss Trend'!P24</f>
        <v>0</v>
      </c>
      <c r="E57" s="1106" t="e">
        <f t="shared" si="1"/>
        <v>#DIV/0!</v>
      </c>
      <c r="F57" s="1105"/>
    </row>
    <row r="58" spans="2:6" s="1102" customFormat="1">
      <c r="B58" s="1104">
        <f>'5A-Loss Trend'!B25</f>
        <v>-730.5</v>
      </c>
      <c r="C58" s="1105">
        <f>'3A-Premium Trend'!H24</f>
        <v>0</v>
      </c>
      <c r="D58" s="1102">
        <f>'5A-Loss Trend'!P25</f>
        <v>0</v>
      </c>
      <c r="E58" s="1106" t="e">
        <f t="shared" si="1"/>
        <v>#DIV/0!</v>
      </c>
      <c r="F58" s="1105"/>
    </row>
    <row r="59" spans="2:6" s="1102" customFormat="1">
      <c r="B59" s="1104">
        <f>'5A-Loss Trend'!B26</f>
        <v>-639.1875</v>
      </c>
      <c r="C59" s="1105">
        <f>'3A-Premium Trend'!H25</f>
        <v>0</v>
      </c>
      <c r="D59" s="1102">
        <f>'5A-Loss Trend'!P26</f>
        <v>0</v>
      </c>
      <c r="E59" s="1106" t="e">
        <f t="shared" si="1"/>
        <v>#DIV/0!</v>
      </c>
      <c r="F59" s="1105"/>
    </row>
    <row r="60" spans="2:6" s="1102" customFormat="1">
      <c r="B60" s="1104">
        <f>'5A-Loss Trend'!B27</f>
        <v>-547.875</v>
      </c>
      <c r="C60" s="1105">
        <f>'3A-Premium Trend'!H26</f>
        <v>0</v>
      </c>
      <c r="D60" s="1102">
        <f>'5A-Loss Trend'!P27</f>
        <v>0</v>
      </c>
      <c r="E60" s="1106" t="e">
        <f t="shared" si="1"/>
        <v>#DIV/0!</v>
      </c>
      <c r="F60" s="1105"/>
    </row>
    <row r="61" spans="2:6" s="1102" customFormat="1">
      <c r="B61" s="1104">
        <f>'5A-Loss Trend'!B28</f>
        <v>-456.5625</v>
      </c>
      <c r="C61" s="1105">
        <f>'3A-Premium Trend'!H27</f>
        <v>0</v>
      </c>
      <c r="D61" s="1102">
        <f>'5A-Loss Trend'!P28</f>
        <v>0</v>
      </c>
      <c r="E61" s="1106" t="e">
        <f t="shared" si="1"/>
        <v>#DIV/0!</v>
      </c>
      <c r="F61" s="1105"/>
    </row>
    <row r="62" spans="2:6" s="1102" customFormat="1">
      <c r="B62" s="1104">
        <f>'5A-Loss Trend'!B29</f>
        <v>-365.25</v>
      </c>
      <c r="C62" s="1105">
        <f>'3A-Premium Trend'!H28</f>
        <v>0</v>
      </c>
      <c r="D62" s="1102">
        <f>'5A-Loss Trend'!P29</f>
        <v>0</v>
      </c>
      <c r="E62" s="1106" t="e">
        <f t="shared" si="1"/>
        <v>#DIV/0!</v>
      </c>
      <c r="F62" s="1105"/>
    </row>
    <row r="63" spans="2:6" s="1102" customFormat="1">
      <c r="B63" s="1104">
        <f>'5A-Loss Trend'!B30</f>
        <v>-273.9375</v>
      </c>
      <c r="C63" s="1105">
        <f>'3A-Premium Trend'!H29</f>
        <v>0</v>
      </c>
      <c r="D63" s="1102">
        <f>'5A-Loss Trend'!P30</f>
        <v>0</v>
      </c>
      <c r="E63" s="1106" t="e">
        <f t="shared" si="1"/>
        <v>#DIV/0!</v>
      </c>
      <c r="F63" s="1105"/>
    </row>
    <row r="64" spans="2:6" s="1102" customFormat="1">
      <c r="B64" s="1104">
        <f>'5A-Loss Trend'!B31</f>
        <v>-182.625</v>
      </c>
      <c r="C64" s="1105">
        <f>'3A-Premium Trend'!H30</f>
        <v>0</v>
      </c>
      <c r="D64" s="1102">
        <f>'5A-Loss Trend'!P31</f>
        <v>0</v>
      </c>
      <c r="E64" s="1106" t="e">
        <f t="shared" si="1"/>
        <v>#DIV/0!</v>
      </c>
      <c r="F64" s="1105"/>
    </row>
    <row r="65" spans="2:6" s="1102" customFormat="1">
      <c r="B65" s="1104">
        <f>'5A-Loss Trend'!B32</f>
        <v>-91.3125</v>
      </c>
      <c r="C65" s="1105">
        <f>'3A-Premium Trend'!H31</f>
        <v>0</v>
      </c>
      <c r="D65" s="1102">
        <f>'5A-Loss Trend'!P32</f>
        <v>0</v>
      </c>
      <c r="E65" s="1106" t="e">
        <f t="shared" si="1"/>
        <v>#DIV/0!</v>
      </c>
      <c r="F65" s="1105"/>
    </row>
    <row r="66" spans="2:6" s="1102" customFormat="1">
      <c r="B66" s="1104">
        <f>'5A-Loss Trend'!B33</f>
        <v>0</v>
      </c>
      <c r="C66" s="1105">
        <f>'3A-Premium Trend'!H32</f>
        <v>0</v>
      </c>
      <c r="D66" s="1102">
        <f>'5A-Loss Trend'!P33</f>
        <v>0</v>
      </c>
      <c r="E66" s="1106" t="e">
        <f t="shared" si="1"/>
        <v>#DIV/0!</v>
      </c>
      <c r="F66" s="1105"/>
    </row>
    <row r="67" spans="2:6" s="1102" customFormat="1">
      <c r="F67" s="1105"/>
    </row>
    <row r="68" spans="2:6" s="1102" customFormat="1">
      <c r="C68" s="1104" t="e">
        <f>'5B-Loss Trend'!B19+'5B-Loss Trend'!E19*365.25</f>
        <v>#VALUE!</v>
      </c>
      <c r="F68" s="1105"/>
    </row>
    <row r="69" spans="2:6">
      <c r="F69" s="432"/>
    </row>
    <row r="70" spans="2:6">
      <c r="F70" s="432"/>
    </row>
    <row r="71" spans="2:6">
      <c r="F71" s="432"/>
    </row>
    <row r="72" spans="2:6">
      <c r="F72" s="432"/>
    </row>
  </sheetData>
  <sheetProtection sheet="1" objects="1" scenarios="1"/>
  <mergeCells count="2">
    <mergeCell ref="C17:D17"/>
    <mergeCell ref="C24:D24"/>
  </mergeCells>
  <printOptions horizontalCentered="1"/>
  <pageMargins left="0.5" right="0.5" top="0.5" bottom="0.5" header="0.3" footer="0.3"/>
  <pageSetup scale="96" orientation="landscape" r:id="rId1"/>
  <headerFooter>
    <oddFooter>&amp;LRevised 3/2013&amp;RPage &amp;P of &amp;N</oddFooter>
  </headerFooter>
  <ignoredErrors>
    <ignoredError sqref="D19:D21" formulaRange="1"/>
  </ignoredErrors>
  <drawing r:id="rId2"/>
</worksheet>
</file>

<file path=xl/worksheets/sheet18.xml><?xml version="1.0" encoding="utf-8"?>
<worksheet xmlns="http://schemas.openxmlformats.org/spreadsheetml/2006/main" xmlns:r="http://schemas.openxmlformats.org/officeDocument/2006/relationships">
  <sheetPr codeName="Sheet13">
    <pageSetUpPr fitToPage="1"/>
  </sheetPr>
  <dimension ref="A1:J105"/>
  <sheetViews>
    <sheetView showGridLines="0" workbookViewId="0">
      <pane ySplit="5" topLeftCell="A6" activePane="bottomLeft" state="frozen"/>
      <selection pane="bottomLeft"/>
    </sheetView>
  </sheetViews>
  <sheetFormatPr defaultRowHeight="15"/>
  <cols>
    <col min="1" max="1" width="4" customWidth="1"/>
    <col min="2" max="5" width="20.7109375" customWidth="1"/>
    <col min="6" max="6" width="13.7109375" customWidth="1"/>
    <col min="7" max="7" width="8.85546875" customWidth="1"/>
    <col min="8" max="8" width="8.85546875" hidden="1" customWidth="1"/>
    <col min="9" max="10" width="8.85546875" customWidth="1"/>
  </cols>
  <sheetData>
    <row r="1" spans="2:6" s="46" customFormat="1" ht="17.25">
      <c r="B1" s="206" t="str">
        <f>'8-Modeled Cat'!B1</f>
        <v>Texas Department of Insurance</v>
      </c>
      <c r="C1" s="206"/>
      <c r="E1" s="190" t="str">
        <f xml:space="preserve"> "Home - "&amp;MID(B4,9,1)</f>
        <v>Home - 7</v>
      </c>
    </row>
    <row r="2" spans="2:6" s="46" customFormat="1" ht="17.25">
      <c r="B2" s="206" t="str">
        <f>'8-Modeled Cat'!B2</f>
        <v>Property and Casualty Rate Filing Exhibits</v>
      </c>
      <c r="C2" s="206"/>
    </row>
    <row r="3" spans="2:6" s="46" customFormat="1">
      <c r="B3" s="211"/>
      <c r="C3" s="211"/>
    </row>
    <row r="4" spans="2:6" s="46" customFormat="1" ht="15.75">
      <c r="B4" s="1445" t="s">
        <v>485</v>
      </c>
      <c r="C4" s="1446"/>
      <c r="D4" s="1120" t="s">
        <v>140</v>
      </c>
      <c r="E4" s="1121" t="str">
        <f>'6-Loss Ratio Trend'!M4</f>
        <v/>
      </c>
    </row>
    <row r="5" spans="2:6">
      <c r="D5" s="1120" t="s">
        <v>787</v>
      </c>
      <c r="E5" s="1121" t="str">
        <f>'6-Loss Ratio Trend'!M5</f>
        <v/>
      </c>
    </row>
    <row r="7" spans="2:6" s="963" customFormat="1">
      <c r="B7" s="1156" t="s">
        <v>840</v>
      </c>
    </row>
    <row r="8" spans="2:6" s="963" customFormat="1"/>
    <row r="9" spans="2:6">
      <c r="C9" s="418">
        <v>-1</v>
      </c>
      <c r="D9" s="418">
        <f>C9-1</f>
        <v>-2</v>
      </c>
      <c r="E9" s="418">
        <f>D9-1</f>
        <v>-3</v>
      </c>
    </row>
    <row r="10" spans="2:6" s="963" customFormat="1" ht="35.450000000000003" customHeight="1">
      <c r="B10" s="346" t="s">
        <v>69</v>
      </c>
      <c r="C10" s="1148" t="str">
        <f>IF('General Information'!B15='General Information'!G17,"Incurred Non-Modeled Cat Losses","Incurred Non-Modeled Cat Losses &amp; DCCE")</f>
        <v>Incurred Non-Modeled Cat Losses &amp; DCCE</v>
      </c>
      <c r="D10" s="1062" t="str">
        <f>IF('General Information'!B15='General Information'!G17,"Incurred Non-Cat Losses","Incurred Non-Cat Losses &amp; DCCE")</f>
        <v>Incurred Non-Cat Losses &amp; DCCE</v>
      </c>
      <c r="E10" s="346" t="s">
        <v>836</v>
      </c>
      <c r="F10" s="1147"/>
    </row>
    <row r="11" spans="2:6" s="963" customFormat="1">
      <c r="B11" s="1221" t="str">
        <f>IF('General Information'!$B$17="","20__",B12-1)</f>
        <v>20__</v>
      </c>
      <c r="C11" s="1164"/>
      <c r="D11" s="1165"/>
      <c r="E11" s="1020">
        <f>IFERROR(C11/D11,0)</f>
        <v>0</v>
      </c>
    </row>
    <row r="12" spans="2:6" s="963" customFormat="1">
      <c r="B12" s="1222" t="str">
        <f>IF('General Information'!$B$17="","20__",B13-1)</f>
        <v>20__</v>
      </c>
      <c r="C12" s="1166"/>
      <c r="D12" s="1167"/>
      <c r="E12" s="184">
        <f t="shared" ref="E12:E39" si="0">IFERROR(C12/D12,0)</f>
        <v>0</v>
      </c>
    </row>
    <row r="13" spans="2:6" s="963" customFormat="1">
      <c r="B13" s="1221" t="str">
        <f>IF('General Information'!$B$17="","20__",B14-1)</f>
        <v>20__</v>
      </c>
      <c r="C13" s="1168"/>
      <c r="D13" s="1169"/>
      <c r="E13" s="1157">
        <f t="shared" si="0"/>
        <v>0</v>
      </c>
    </row>
    <row r="14" spans="2:6" s="963" customFormat="1">
      <c r="B14" s="1222" t="str">
        <f>IF('General Information'!$B$17="","20__",B15-1)</f>
        <v>20__</v>
      </c>
      <c r="C14" s="1166"/>
      <c r="D14" s="1167"/>
      <c r="E14" s="184">
        <f t="shared" si="0"/>
        <v>0</v>
      </c>
    </row>
    <row r="15" spans="2:6" s="963" customFormat="1">
      <c r="B15" s="1221" t="str">
        <f>IF('General Information'!$B$17="","20__",B16-1)</f>
        <v>20__</v>
      </c>
      <c r="C15" s="1168"/>
      <c r="D15" s="1169"/>
      <c r="E15" s="1157">
        <f t="shared" si="0"/>
        <v>0</v>
      </c>
    </row>
    <row r="16" spans="2:6" s="963" customFormat="1">
      <c r="B16" s="1222" t="str">
        <f>IF('General Information'!$B$17="","20__",B17-1)</f>
        <v>20__</v>
      </c>
      <c r="C16" s="1166"/>
      <c r="D16" s="1167"/>
      <c r="E16" s="184">
        <f t="shared" si="0"/>
        <v>0</v>
      </c>
    </row>
    <row r="17" spans="2:5" s="963" customFormat="1">
      <c r="B17" s="1221" t="str">
        <f>IF('General Information'!$B$17="","20__",B18-1)</f>
        <v>20__</v>
      </c>
      <c r="C17" s="1168"/>
      <c r="D17" s="1169"/>
      <c r="E17" s="1157">
        <f t="shared" si="0"/>
        <v>0</v>
      </c>
    </row>
    <row r="18" spans="2:5" s="963" customFormat="1">
      <c r="B18" s="1222" t="str">
        <f>IF('General Information'!$B$17="","20__",B19-1)</f>
        <v>20__</v>
      </c>
      <c r="C18" s="1166"/>
      <c r="D18" s="1167"/>
      <c r="E18" s="184">
        <f t="shared" si="0"/>
        <v>0</v>
      </c>
    </row>
    <row r="19" spans="2:5" s="963" customFormat="1">
      <c r="B19" s="1221" t="str">
        <f>IF('General Information'!$B$17="","20__",B20-1)</f>
        <v>20__</v>
      </c>
      <c r="C19" s="1168"/>
      <c r="D19" s="1169"/>
      <c r="E19" s="1157">
        <f t="shared" si="0"/>
        <v>0</v>
      </c>
    </row>
    <row r="20" spans="2:5" s="963" customFormat="1">
      <c r="B20" s="1222" t="str">
        <f>IF('General Information'!$B$17="","20__",B21-1)</f>
        <v>20__</v>
      </c>
      <c r="C20" s="1166"/>
      <c r="D20" s="1167"/>
      <c r="E20" s="184">
        <f t="shared" si="0"/>
        <v>0</v>
      </c>
    </row>
    <row r="21" spans="2:5" s="963" customFormat="1">
      <c r="B21" s="1221" t="str">
        <f>IF('General Information'!$B$17="","20__",B22-1)</f>
        <v>20__</v>
      </c>
      <c r="C21" s="1168"/>
      <c r="D21" s="1169"/>
      <c r="E21" s="1157">
        <f t="shared" si="0"/>
        <v>0</v>
      </c>
    </row>
    <row r="22" spans="2:5" s="963" customFormat="1">
      <c r="B22" s="1222" t="str">
        <f>IF('General Information'!$B$17="","20__",B23-1)</f>
        <v>20__</v>
      </c>
      <c r="C22" s="1166"/>
      <c r="D22" s="1167"/>
      <c r="E22" s="184">
        <f t="shared" si="0"/>
        <v>0</v>
      </c>
    </row>
    <row r="23" spans="2:5" s="963" customFormat="1">
      <c r="B23" s="1221" t="str">
        <f>IF('General Information'!$B$17="","20__",B24-1)</f>
        <v>20__</v>
      </c>
      <c r="C23" s="1168"/>
      <c r="D23" s="1169"/>
      <c r="E23" s="1157">
        <f t="shared" si="0"/>
        <v>0</v>
      </c>
    </row>
    <row r="24" spans="2:5" s="963" customFormat="1">
      <c r="B24" s="1222" t="str">
        <f>IF('General Information'!$B$17="","20__",B25-1)</f>
        <v>20__</v>
      </c>
      <c r="C24" s="1166"/>
      <c r="D24" s="1167"/>
      <c r="E24" s="184">
        <f t="shared" si="0"/>
        <v>0</v>
      </c>
    </row>
    <row r="25" spans="2:5" s="963" customFormat="1">
      <c r="B25" s="1221" t="str">
        <f>IF('General Information'!$B$17="","20__",B26-1)</f>
        <v>20__</v>
      </c>
      <c r="C25" s="1168"/>
      <c r="D25" s="1169"/>
      <c r="E25" s="1157">
        <f t="shared" si="0"/>
        <v>0</v>
      </c>
    </row>
    <row r="26" spans="2:5" s="963" customFormat="1">
      <c r="B26" s="1222" t="str">
        <f>IF('General Information'!$B$17="","20__",B27-1)</f>
        <v>20__</v>
      </c>
      <c r="C26" s="1166"/>
      <c r="D26" s="1167"/>
      <c r="E26" s="184">
        <f t="shared" si="0"/>
        <v>0</v>
      </c>
    </row>
    <row r="27" spans="2:5" s="963" customFormat="1">
      <c r="B27" s="1221" t="str">
        <f>IF('General Information'!$B$17="","20__",B28-1)</f>
        <v>20__</v>
      </c>
      <c r="C27" s="1168"/>
      <c r="D27" s="1169"/>
      <c r="E27" s="1157">
        <f t="shared" si="0"/>
        <v>0</v>
      </c>
    </row>
    <row r="28" spans="2:5" s="963" customFormat="1">
      <c r="B28" s="1222" t="str">
        <f>IF('General Information'!$B$17="","20__",B29-1)</f>
        <v>20__</v>
      </c>
      <c r="C28" s="1166"/>
      <c r="D28" s="1167"/>
      <c r="E28" s="184">
        <f t="shared" si="0"/>
        <v>0</v>
      </c>
    </row>
    <row r="29" spans="2:5" s="963" customFormat="1">
      <c r="B29" s="1221" t="str">
        <f>IF('General Information'!$B$17="","20__",B30-1)</f>
        <v>20__</v>
      </c>
      <c r="C29" s="1168"/>
      <c r="D29" s="1169"/>
      <c r="E29" s="1157">
        <f t="shared" si="0"/>
        <v>0</v>
      </c>
    </row>
    <row r="30" spans="2:5" s="963" customFormat="1">
      <c r="B30" s="1222" t="str">
        <f>IF('General Information'!$B$17="","20__",B31-1)</f>
        <v>20__</v>
      </c>
      <c r="C30" s="1166"/>
      <c r="D30" s="1167"/>
      <c r="E30" s="184">
        <f t="shared" si="0"/>
        <v>0</v>
      </c>
    </row>
    <row r="31" spans="2:5" s="963" customFormat="1">
      <c r="B31" s="1221" t="str">
        <f>IF('General Information'!$B$17="","20__",B32-1)</f>
        <v>20__</v>
      </c>
      <c r="C31" s="1168"/>
      <c r="D31" s="1169"/>
      <c r="E31" s="1157">
        <f t="shared" si="0"/>
        <v>0</v>
      </c>
    </row>
    <row r="32" spans="2:5" s="963" customFormat="1">
      <c r="B32" s="1222" t="str">
        <f>IF('General Information'!$B$17="","20__",B33-1)</f>
        <v>20__</v>
      </c>
      <c r="C32" s="1166"/>
      <c r="D32" s="1167"/>
      <c r="E32" s="184">
        <f t="shared" si="0"/>
        <v>0</v>
      </c>
    </row>
    <row r="33" spans="1:6" s="963" customFormat="1">
      <c r="B33" s="1221" t="str">
        <f>IF('General Information'!$B$17="","20__",B34-1)</f>
        <v>20__</v>
      </c>
      <c r="C33" s="1168"/>
      <c r="D33" s="1169"/>
      <c r="E33" s="1157">
        <f t="shared" si="0"/>
        <v>0</v>
      </c>
    </row>
    <row r="34" spans="1:6" s="963" customFormat="1">
      <c r="B34" s="1222" t="str">
        <f>IF('General Information'!$B$17="","20__",B35-1)</f>
        <v>20__</v>
      </c>
      <c r="C34" s="1166"/>
      <c r="D34" s="1167"/>
      <c r="E34" s="184">
        <f t="shared" si="0"/>
        <v>0</v>
      </c>
    </row>
    <row r="35" spans="1:6" s="963" customFormat="1">
      <c r="B35" s="1221" t="str">
        <f>IF('General Information'!$B$17="","20__",B36-1)</f>
        <v>20__</v>
      </c>
      <c r="C35" s="1168"/>
      <c r="D35" s="1169"/>
      <c r="E35" s="1157">
        <f t="shared" si="0"/>
        <v>0</v>
      </c>
    </row>
    <row r="36" spans="1:6" s="963" customFormat="1">
      <c r="B36" s="1222" t="str">
        <f>IF('General Information'!$B$17="","20__",B37-1)</f>
        <v>20__</v>
      </c>
      <c r="C36" s="1166"/>
      <c r="D36" s="1167"/>
      <c r="E36" s="184">
        <f t="shared" si="0"/>
        <v>0</v>
      </c>
    </row>
    <row r="37" spans="1:6" s="963" customFormat="1">
      <c r="B37" s="1221" t="str">
        <f>IF('General Information'!$B$17="","20__",B38-1)</f>
        <v>20__</v>
      </c>
      <c r="C37" s="1168"/>
      <c r="D37" s="1169"/>
      <c r="E37" s="1157">
        <f t="shared" si="0"/>
        <v>0</v>
      </c>
    </row>
    <row r="38" spans="1:6" s="963" customFormat="1">
      <c r="B38" s="1222" t="str">
        <f>IF('General Information'!$B$17="","20__",B39-1)</f>
        <v>20__</v>
      </c>
      <c r="C38" s="1166"/>
      <c r="D38" s="1167"/>
      <c r="E38" s="184">
        <f t="shared" si="0"/>
        <v>0</v>
      </c>
    </row>
    <row r="39" spans="1:6" s="963" customFormat="1">
      <c r="B39" s="1221" t="str">
        <f>IF('General Information'!$B$17="","20__",B40-1)</f>
        <v>20__</v>
      </c>
      <c r="C39" s="1168"/>
      <c r="D39" s="1169"/>
      <c r="E39" s="1157">
        <f t="shared" si="0"/>
        <v>0</v>
      </c>
    </row>
    <row r="40" spans="1:6" s="963" customFormat="1">
      <c r="B40" s="1224" t="str">
        <f>IF('General Information'!B17="","20__",IF(MONTH('General Information'!B17)&gt;8,YEAR('General Information'!B17),YEAR('General Information'!B17)-1))</f>
        <v>20__</v>
      </c>
      <c r="C40" s="1225"/>
      <c r="D40" s="1226"/>
      <c r="E40" s="1227">
        <f>IFERROR(C40/D40,0)</f>
        <v>0</v>
      </c>
    </row>
    <row r="41" spans="1:6" s="963" customFormat="1">
      <c r="B41" s="435" t="s">
        <v>8</v>
      </c>
      <c r="C41" s="1228">
        <f>SUM(C11:C40)</f>
        <v>0</v>
      </c>
      <c r="D41" s="1229">
        <f>SUM(D11:D40)</f>
        <v>0</v>
      </c>
      <c r="E41" s="1223">
        <f>IFERROR(C41/D41,0)</f>
        <v>0</v>
      </c>
    </row>
    <row r="42" spans="1:6" s="963" customFormat="1"/>
    <row r="43" spans="1:6" s="963" customFormat="1">
      <c r="B43" s="1230"/>
      <c r="C43" s="476" t="s">
        <v>475</v>
      </c>
      <c r="D43" s="476" t="s">
        <v>902</v>
      </c>
      <c r="E43" s="476" t="s">
        <v>901</v>
      </c>
      <c r="F43" s="164"/>
    </row>
    <row r="44" spans="1:6" s="963" customFormat="1">
      <c r="B44" s="1231"/>
      <c r="C44" s="464" t="s">
        <v>903</v>
      </c>
      <c r="D44" s="1232" t="str">
        <f>IF(C11="","N/A",IFERROR(SUM(C11:C40)/SUM(D11:D40),0))</f>
        <v>N/A</v>
      </c>
      <c r="E44" s="1160" t="str">
        <f>IF(C11="","N/A",IFERROR(AVERAGE(E11:E40),0))</f>
        <v>N/A</v>
      </c>
      <c r="F44" s="15"/>
    </row>
    <row r="45" spans="1:6" s="963" customFormat="1">
      <c r="B45" s="1231"/>
      <c r="C45" s="1161" t="s">
        <v>904</v>
      </c>
      <c r="D45" s="1233" t="str">
        <f>IF(C21="","N/A",IFERROR(SUM(C21:C40)/SUM(D21:D40),0))</f>
        <v>N/A</v>
      </c>
      <c r="E45" s="1162" t="str">
        <f>IF(C21="","N/A",IFERROR(AVERAGE(E21:E40),0))</f>
        <v>N/A</v>
      </c>
      <c r="F45" s="15"/>
    </row>
    <row r="46" spans="1:6" s="963" customFormat="1">
      <c r="B46" s="1231"/>
      <c r="C46" s="38" t="s">
        <v>905</v>
      </c>
      <c r="D46" s="1234" t="str">
        <f>IF(C31="","N/A",IFERROR(SUM(C31:C40)/SUM(D31:D40),0))</f>
        <v>N/A</v>
      </c>
      <c r="E46" s="1163" t="str">
        <f>IF(C31="","N/A",IFERROR(AVERAGE(E31:E40),0))</f>
        <v>N/A</v>
      </c>
      <c r="F46" s="15"/>
    </row>
    <row r="47" spans="1:6" s="963" customFormat="1">
      <c r="C47" s="157"/>
      <c r="D47" s="14"/>
      <c r="E47" s="15"/>
    </row>
    <row r="48" spans="1:6" s="963" customFormat="1" ht="14.45" customHeight="1">
      <c r="A48" s="157">
        <f>E9-1</f>
        <v>-4</v>
      </c>
      <c r="B48" s="1464" t="s">
        <v>852</v>
      </c>
      <c r="C48" s="1464"/>
      <c r="D48" s="1464"/>
      <c r="E48" s="1464"/>
    </row>
    <row r="49" spans="1:9" s="963" customFormat="1">
      <c r="B49" s="1465"/>
      <c r="C49" s="1465"/>
      <c r="D49" s="1465"/>
      <c r="E49" s="1465"/>
    </row>
    <row r="50" spans="1:9" s="963" customFormat="1">
      <c r="B50" s="1466"/>
      <c r="C50" s="1466"/>
      <c r="D50" s="1466"/>
      <c r="E50" s="1466"/>
    </row>
    <row r="51" spans="1:9" s="963" customFormat="1">
      <c r="B51" s="1467"/>
      <c r="C51" s="1467"/>
      <c r="D51" s="1467"/>
      <c r="E51" s="1467"/>
    </row>
    <row r="52" spans="1:9" s="963" customFormat="1">
      <c r="B52" s="1467"/>
      <c r="C52" s="1467"/>
      <c r="D52" s="1467"/>
      <c r="E52" s="1467"/>
    </row>
    <row r="53" spans="1:9" s="963" customFormat="1"/>
    <row r="54" spans="1:9" s="963" customFormat="1"/>
    <row r="55" spans="1:9" s="963" customFormat="1">
      <c r="B55" s="1156" t="s">
        <v>841</v>
      </c>
    </row>
    <row r="56" spans="1:9" s="963" customFormat="1"/>
    <row r="57" spans="1:9" s="963" customFormat="1">
      <c r="A57" s="157">
        <f>A48-1</f>
        <v>-5</v>
      </c>
      <c r="B57" s="1447" t="s">
        <v>870</v>
      </c>
      <c r="C57" s="1447"/>
      <c r="D57" s="1447"/>
      <c r="E57" s="1447"/>
      <c r="H57" s="963" t="s">
        <v>111</v>
      </c>
    </row>
    <row r="58" spans="1:9" s="963" customFormat="1">
      <c r="B58" s="1448"/>
      <c r="C58" s="1448"/>
      <c r="D58" s="1448"/>
      <c r="E58" s="1448"/>
      <c r="H58" s="963" t="s">
        <v>837</v>
      </c>
    </row>
    <row r="59" spans="1:9" s="963" customFormat="1">
      <c r="B59" s="1449" t="s">
        <v>111</v>
      </c>
      <c r="C59" s="1450"/>
      <c r="D59" s="1153"/>
      <c r="E59" s="1154"/>
      <c r="H59" s="963" t="s">
        <v>838</v>
      </c>
    </row>
    <row r="60" spans="1:9" s="963" customFormat="1"/>
    <row r="61" spans="1:9">
      <c r="A61" s="157">
        <f>A57-1</f>
        <v>-6</v>
      </c>
      <c r="B61" s="1451" t="str">
        <f>TEXT("Selected ","") &amp; TEXT('1-Indication'!H22,"")</f>
        <v>Selected Non-Modeled Cat Loss &amp; DCCE Load</v>
      </c>
      <c r="C61" s="1452"/>
      <c r="D61" s="1452"/>
      <c r="E61" s="1155"/>
      <c r="F61" s="293"/>
    </row>
    <row r="62" spans="1:9" s="963" customFormat="1">
      <c r="A62" s="157"/>
      <c r="B62" s="1468" t="str">
        <f>IF(B59=H59,"Enter the value as a ratio of cat-to-earned premium.","Enter the value as a ratio of cat-to-non-cat loss.")</f>
        <v>Enter the value as a ratio of cat-to-non-cat loss.</v>
      </c>
      <c r="C62" s="1469"/>
      <c r="D62" s="1469"/>
      <c r="E62" s="1470"/>
      <c r="F62" s="293"/>
    </row>
    <row r="63" spans="1:9">
      <c r="F63" s="293"/>
    </row>
    <row r="64" spans="1:9" ht="14.45" customHeight="1">
      <c r="A64" s="157">
        <f>A61-1</f>
        <v>-7</v>
      </c>
      <c r="B64" s="1411" t="s">
        <v>853</v>
      </c>
      <c r="C64" s="1412"/>
      <c r="D64" s="1412"/>
      <c r="E64" s="1413"/>
      <c r="F64" s="1149"/>
      <c r="I64" s="1112"/>
    </row>
    <row r="65" spans="1:10" s="963" customFormat="1" ht="14.45" customHeight="1">
      <c r="A65" s="157"/>
      <c r="B65" s="1456" t="s">
        <v>854</v>
      </c>
      <c r="C65" s="1457"/>
      <c r="D65" s="1457"/>
      <c r="E65" s="1458"/>
      <c r="F65" s="1150"/>
      <c r="H65" s="963" t="s">
        <v>833</v>
      </c>
      <c r="I65" s="1132"/>
    </row>
    <row r="66" spans="1:10">
      <c r="B66" s="1170" t="s">
        <v>833</v>
      </c>
      <c r="C66" s="1146"/>
      <c r="D66" s="1144"/>
      <c r="E66" s="1145"/>
      <c r="F66" s="1149"/>
      <c r="H66" s="963" t="s">
        <v>827</v>
      </c>
    </row>
    <row r="67" spans="1:10">
      <c r="F67" s="293"/>
    </row>
    <row r="68" spans="1:10" ht="14.45" customHeight="1">
      <c r="A68" s="157">
        <f>A64-1</f>
        <v>-8</v>
      </c>
      <c r="B68" s="1459" t="s">
        <v>594</v>
      </c>
      <c r="C68" s="1460"/>
      <c r="D68" s="1460"/>
      <c r="E68" s="1461"/>
      <c r="F68" s="1151"/>
    </row>
    <row r="69" spans="1:10">
      <c r="B69" s="1456"/>
      <c r="C69" s="1462"/>
      <c r="D69" s="1462"/>
      <c r="E69" s="1463"/>
      <c r="F69" s="1151"/>
    </row>
    <row r="70" spans="1:10">
      <c r="B70" s="1362"/>
      <c r="C70" s="1363"/>
      <c r="D70" s="1363"/>
      <c r="E70" s="1364"/>
      <c r="F70" s="1152"/>
    </row>
    <row r="71" spans="1:10">
      <c r="B71" s="1298"/>
      <c r="C71" s="1299"/>
      <c r="D71" s="1299"/>
      <c r="E71" s="1300"/>
      <c r="F71" s="1152"/>
    </row>
    <row r="72" spans="1:10">
      <c r="B72" s="1298"/>
      <c r="C72" s="1299"/>
      <c r="D72" s="1299"/>
      <c r="E72" s="1300"/>
      <c r="F72" s="1152"/>
    </row>
    <row r="73" spans="1:10">
      <c r="B73" s="1298"/>
      <c r="C73" s="1299"/>
      <c r="D73" s="1299"/>
      <c r="E73" s="1300"/>
      <c r="F73" s="1152"/>
    </row>
    <row r="74" spans="1:10">
      <c r="B74" s="1301"/>
      <c r="C74" s="1302"/>
      <c r="D74" s="1302"/>
      <c r="E74" s="1303"/>
      <c r="F74" s="1152"/>
    </row>
    <row r="75" spans="1:10">
      <c r="F75" s="293"/>
    </row>
    <row r="76" spans="1:10" s="576" customFormat="1" ht="14.45" customHeight="1">
      <c r="A76" s="157">
        <f>A68-1</f>
        <v>-9</v>
      </c>
      <c r="B76" s="1295" t="s">
        <v>590</v>
      </c>
      <c r="C76" s="1296"/>
      <c r="D76" s="1296"/>
      <c r="E76" s="1297"/>
      <c r="F76" s="1149"/>
      <c r="H76" s="1112" t="s">
        <v>111</v>
      </c>
      <c r="I76" s="621"/>
      <c r="J76" s="621"/>
    </row>
    <row r="77" spans="1:10" s="576" customFormat="1" ht="14.45" customHeight="1">
      <c r="A77" s="157"/>
      <c r="B77" s="1183" t="s">
        <v>111</v>
      </c>
      <c r="C77" s="1184"/>
      <c r="D77" s="1184"/>
      <c r="E77" s="1185"/>
      <c r="F77" s="1149"/>
      <c r="H77" s="1112" t="s">
        <v>167</v>
      </c>
    </row>
    <row r="78" spans="1:10" s="576" customFormat="1">
      <c r="B78" s="1180" t="s">
        <v>591</v>
      </c>
      <c r="C78" s="1181"/>
      <c r="D78" s="1181"/>
      <c r="E78" s="1182"/>
      <c r="F78" s="425"/>
      <c r="H78" s="1112" t="s">
        <v>168</v>
      </c>
    </row>
    <row r="79" spans="1:10" s="576" customFormat="1">
      <c r="B79" s="1362"/>
      <c r="C79" s="1363"/>
      <c r="D79" s="1363"/>
      <c r="E79" s="1364"/>
      <c r="F79" s="1152"/>
    </row>
    <row r="80" spans="1:10" s="576" customFormat="1">
      <c r="B80" s="1298"/>
      <c r="C80" s="1299"/>
      <c r="D80" s="1299"/>
      <c r="E80" s="1300"/>
      <c r="F80" s="1152"/>
    </row>
    <row r="81" spans="1:10" s="576" customFormat="1">
      <c r="B81" s="1298"/>
      <c r="C81" s="1299"/>
      <c r="D81" s="1299"/>
      <c r="E81" s="1300"/>
      <c r="F81" s="1152"/>
    </row>
    <row r="82" spans="1:10" s="576" customFormat="1">
      <c r="B82" s="1298"/>
      <c r="C82" s="1299"/>
      <c r="D82" s="1299"/>
      <c r="E82" s="1300"/>
      <c r="F82" s="1152"/>
    </row>
    <row r="83" spans="1:10" s="576" customFormat="1">
      <c r="B83" s="1298"/>
      <c r="C83" s="1299"/>
      <c r="D83" s="1299"/>
      <c r="E83" s="1300"/>
      <c r="F83" s="1152"/>
    </row>
    <row r="84" spans="1:10" s="576" customFormat="1">
      <c r="B84" s="1298"/>
      <c r="C84" s="1299"/>
      <c r="D84" s="1299"/>
      <c r="E84" s="1300"/>
      <c r="F84" s="1152"/>
    </row>
    <row r="85" spans="1:10" s="576" customFormat="1">
      <c r="B85" s="1298"/>
      <c r="C85" s="1299"/>
      <c r="D85" s="1299"/>
      <c r="E85" s="1300"/>
      <c r="F85" s="1152"/>
    </row>
    <row r="86" spans="1:10" s="576" customFormat="1">
      <c r="B86" s="1301"/>
      <c r="C86" s="1302"/>
      <c r="D86" s="1302"/>
      <c r="E86" s="1303"/>
      <c r="F86" s="1152"/>
    </row>
    <row r="87" spans="1:10" s="576" customFormat="1">
      <c r="F87" s="293"/>
    </row>
    <row r="88" spans="1:10" s="576" customFormat="1" ht="14.45" customHeight="1">
      <c r="A88" s="157">
        <f>A76-1</f>
        <v>-10</v>
      </c>
      <c r="B88" s="1295" t="s">
        <v>593</v>
      </c>
      <c r="C88" s="1296"/>
      <c r="D88" s="1296"/>
      <c r="E88" s="1297"/>
      <c r="F88" s="1149"/>
    </row>
    <row r="89" spans="1:10" s="576" customFormat="1">
      <c r="A89" s="157"/>
      <c r="B89" s="1183" t="s">
        <v>111</v>
      </c>
      <c r="C89" s="1184"/>
      <c r="D89" s="1184"/>
      <c r="E89" s="1185"/>
      <c r="F89" s="1149"/>
    </row>
    <row r="90" spans="1:10" s="576" customFormat="1">
      <c r="B90" s="1453" t="s">
        <v>591</v>
      </c>
      <c r="C90" s="1454"/>
      <c r="D90" s="1454"/>
      <c r="E90" s="1455"/>
      <c r="F90" s="425"/>
      <c r="I90" s="621"/>
      <c r="J90" s="621"/>
    </row>
    <row r="91" spans="1:10" s="576" customFormat="1">
      <c r="B91" s="1362"/>
      <c r="C91" s="1363"/>
      <c r="D91" s="1363"/>
      <c r="E91" s="1364"/>
      <c r="F91" s="1152"/>
    </row>
    <row r="92" spans="1:10" s="576" customFormat="1">
      <c r="B92" s="1298"/>
      <c r="C92" s="1299"/>
      <c r="D92" s="1299"/>
      <c r="E92" s="1300"/>
      <c r="F92" s="1152"/>
    </row>
    <row r="93" spans="1:10" s="576" customFormat="1">
      <c r="B93" s="1298"/>
      <c r="C93" s="1299"/>
      <c r="D93" s="1299"/>
      <c r="E93" s="1300"/>
      <c r="F93" s="1152"/>
    </row>
    <row r="94" spans="1:10" s="576" customFormat="1">
      <c r="B94" s="1298"/>
      <c r="C94" s="1299"/>
      <c r="D94" s="1299"/>
      <c r="E94" s="1300"/>
      <c r="F94" s="1152"/>
    </row>
    <row r="95" spans="1:10" s="576" customFormat="1">
      <c r="B95" s="1298"/>
      <c r="C95" s="1299"/>
      <c r="D95" s="1299"/>
      <c r="E95" s="1300"/>
      <c r="F95" s="1152"/>
    </row>
    <row r="96" spans="1:10" s="576" customFormat="1">
      <c r="B96" s="1298"/>
      <c r="C96" s="1299"/>
      <c r="D96" s="1299"/>
      <c r="E96" s="1300"/>
      <c r="F96" s="1152"/>
    </row>
    <row r="97" spans="1:6" s="576" customFormat="1">
      <c r="B97" s="1298"/>
      <c r="C97" s="1299"/>
      <c r="D97" s="1299"/>
      <c r="E97" s="1300"/>
      <c r="F97" s="1152"/>
    </row>
    <row r="98" spans="1:6" s="576" customFormat="1">
      <c r="B98" s="1301"/>
      <c r="C98" s="1302"/>
      <c r="D98" s="1302"/>
      <c r="E98" s="1303"/>
      <c r="F98" s="1152"/>
    </row>
    <row r="99" spans="1:6">
      <c r="F99" s="293"/>
    </row>
    <row r="100" spans="1:6">
      <c r="F100" s="293"/>
    </row>
    <row r="101" spans="1:6">
      <c r="A101" s="447" t="s">
        <v>516</v>
      </c>
      <c r="B101" s="204"/>
    </row>
    <row r="102" spans="1:6" s="963" customFormat="1">
      <c r="A102" s="448">
        <f>C9</f>
        <v>-1</v>
      </c>
      <c r="B102" s="205" t="s">
        <v>145</v>
      </c>
    </row>
    <row r="103" spans="1:6" s="963" customFormat="1">
      <c r="A103" s="448">
        <f>D9</f>
        <v>-2</v>
      </c>
      <c r="B103" s="205" t="s">
        <v>145</v>
      </c>
    </row>
    <row r="104" spans="1:6" s="963" customFormat="1">
      <c r="A104" s="448">
        <f>E9</f>
        <v>-3</v>
      </c>
      <c r="B104" s="449" t="s">
        <v>839</v>
      </c>
    </row>
    <row r="105" spans="1:6">
      <c r="A105" s="448">
        <f>A61</f>
        <v>-6</v>
      </c>
      <c r="B105" s="205" t="s">
        <v>145</v>
      </c>
    </row>
  </sheetData>
  <sheetProtection sheet="1" objects="1" scenarios="1"/>
  <mergeCells count="16">
    <mergeCell ref="B4:C4"/>
    <mergeCell ref="B57:E58"/>
    <mergeCell ref="B59:C59"/>
    <mergeCell ref="B61:D61"/>
    <mergeCell ref="B91:E98"/>
    <mergeCell ref="B90:E90"/>
    <mergeCell ref="B88:E88"/>
    <mergeCell ref="B79:E86"/>
    <mergeCell ref="B70:E74"/>
    <mergeCell ref="B65:E65"/>
    <mergeCell ref="B64:E64"/>
    <mergeCell ref="B76:E76"/>
    <mergeCell ref="B68:E69"/>
    <mergeCell ref="B48:E49"/>
    <mergeCell ref="B50:E52"/>
    <mergeCell ref="B62:E62"/>
  </mergeCells>
  <conditionalFormatting sqref="E61">
    <cfRule type="expression" dxfId="80" priority="4">
      <formula>$E$61=""</formula>
    </cfRule>
  </conditionalFormatting>
  <conditionalFormatting sqref="B77:E77">
    <cfRule type="expression" dxfId="79" priority="13">
      <formula>OR($B$77=$H$76,$B$77="")</formula>
    </cfRule>
  </conditionalFormatting>
  <conditionalFormatting sqref="B79">
    <cfRule type="expression" dxfId="78" priority="12">
      <formula>AND($B$77=$H$77,$B$79="")</formula>
    </cfRule>
  </conditionalFormatting>
  <conditionalFormatting sqref="B78">
    <cfRule type="expression" dxfId="77" priority="11">
      <formula>$B$77=$H$77</formula>
    </cfRule>
  </conditionalFormatting>
  <conditionalFormatting sqref="B89:E89">
    <cfRule type="expression" dxfId="76" priority="10">
      <formula>OR($B$89=$H$76,$B$89="")</formula>
    </cfRule>
  </conditionalFormatting>
  <conditionalFormatting sqref="B91">
    <cfRule type="expression" dxfId="75" priority="9">
      <formula>AND($B$89=$H$77,$B$91="")</formula>
    </cfRule>
  </conditionalFormatting>
  <conditionalFormatting sqref="B90">
    <cfRule type="expression" dxfId="74" priority="8">
      <formula>$B$89=$H$77</formula>
    </cfRule>
  </conditionalFormatting>
  <conditionalFormatting sqref="B70">
    <cfRule type="expression" dxfId="73" priority="7">
      <formula>$B$70=""</formula>
    </cfRule>
  </conditionalFormatting>
  <conditionalFormatting sqref="B66:E66">
    <cfRule type="expression" dxfId="72" priority="24">
      <formula>$B$66=$H$65</formula>
    </cfRule>
  </conditionalFormatting>
  <conditionalFormatting sqref="B59:E59">
    <cfRule type="expression" dxfId="71" priority="3">
      <formula>$B$59=$H$57</formula>
    </cfRule>
  </conditionalFormatting>
  <conditionalFormatting sqref="C11:D40">
    <cfRule type="expression" dxfId="70" priority="2">
      <formula>C11=""</formula>
    </cfRule>
  </conditionalFormatting>
  <conditionalFormatting sqref="B50:E52">
    <cfRule type="expression" dxfId="69" priority="1">
      <formula>$B$50=""</formula>
    </cfRule>
  </conditionalFormatting>
  <dataValidations count="3">
    <dataValidation type="list" showInputMessage="1" showErrorMessage="1" sqref="B77 B89">
      <formula1>$H$76:$H$78</formula1>
    </dataValidation>
    <dataValidation type="list" allowBlank="1" showInputMessage="1" showErrorMessage="1" sqref="B66">
      <formula1>$H$65:$H$66</formula1>
    </dataValidation>
    <dataValidation type="list" allowBlank="1" showInputMessage="1" showErrorMessage="1" sqref="B59">
      <formula1>$H$57:$H$59</formula1>
    </dataValidation>
  </dataValidations>
  <printOptions horizontalCentered="1"/>
  <pageMargins left="0.2" right="0.5" top="0.5" bottom="0.5" header="0.3" footer="0.3"/>
  <pageSetup scale="92" fitToHeight="2" orientation="portrait" r:id="rId1"/>
  <headerFooter>
    <oddFooter>&amp;LRevised 3/2013&amp;RPage &amp;P of &amp;N</oddFooter>
  </headerFooter>
  <rowBreaks count="1" manualBreakCount="1">
    <brk id="52" max="4" man="1"/>
  </rowBreaks>
</worksheet>
</file>

<file path=xl/worksheets/sheet19.xml><?xml version="1.0" encoding="utf-8"?>
<worksheet xmlns="http://schemas.openxmlformats.org/spreadsheetml/2006/main" xmlns:r="http://schemas.openxmlformats.org/officeDocument/2006/relationships">
  <sheetPr codeName="Sheet12"/>
  <dimension ref="A1:M84"/>
  <sheetViews>
    <sheetView showGridLines="0" workbookViewId="0">
      <pane ySplit="5" topLeftCell="A6" activePane="bottomLeft" state="frozen"/>
      <selection pane="bottomLeft"/>
    </sheetView>
  </sheetViews>
  <sheetFormatPr defaultColWidth="8.85546875" defaultRowHeight="15"/>
  <cols>
    <col min="1" max="1" width="3.85546875" style="46" customWidth="1"/>
    <col min="2" max="3" width="12.5703125" style="46" customWidth="1"/>
    <col min="4" max="9" width="15.28515625" style="46" customWidth="1"/>
    <col min="10" max="10" width="9.7109375" style="46" customWidth="1"/>
    <col min="11" max="11" width="12.28515625" style="46" hidden="1" customWidth="1"/>
    <col min="12" max="14" width="8.85546875" style="46" customWidth="1"/>
    <col min="15" max="16384" width="8.85546875" style="46"/>
  </cols>
  <sheetData>
    <row r="1" spans="1:11" s="500" customFormat="1" ht="17.25">
      <c r="B1" s="499" t="s">
        <v>9</v>
      </c>
      <c r="C1" s="499"/>
      <c r="I1" s="194" t="str">
        <f xml:space="preserve"> "Home - "&amp;MID(B4,9,1)</f>
        <v>Home - 8</v>
      </c>
    </row>
    <row r="2" spans="1:11" s="500" customFormat="1" ht="17.25">
      <c r="B2" s="499" t="s">
        <v>11</v>
      </c>
      <c r="C2" s="499"/>
    </row>
    <row r="3" spans="1:11" s="500" customFormat="1">
      <c r="B3" s="332"/>
      <c r="C3" s="332"/>
    </row>
    <row r="4" spans="1:11" s="500" customFormat="1" ht="15.75">
      <c r="B4" s="501" t="s">
        <v>486</v>
      </c>
      <c r="C4" s="1138"/>
      <c r="D4" s="1138"/>
      <c r="E4" s="1137"/>
      <c r="F4" s="502"/>
      <c r="H4" s="1123" t="s">
        <v>140</v>
      </c>
      <c r="I4" s="1119" t="str">
        <f>'7-Non-Modeled Cat'!E4</f>
        <v/>
      </c>
    </row>
    <row r="5" spans="1:11" s="500" customFormat="1">
      <c r="H5" s="1123" t="s">
        <v>787</v>
      </c>
      <c r="I5" s="1119" t="str">
        <f>'7-Non-Modeled Cat'!E5</f>
        <v/>
      </c>
    </row>
    <row r="6" spans="1:11" s="210" customFormat="1" ht="15" customHeight="1"/>
    <row r="7" spans="1:11" s="210" customFormat="1" ht="15" customHeight="1">
      <c r="A7" s="424">
        <v>-1</v>
      </c>
      <c r="B7" s="1471" t="s">
        <v>835</v>
      </c>
      <c r="C7" s="1472"/>
      <c r="D7" s="1472"/>
      <c r="E7" s="1473"/>
      <c r="F7" s="1242"/>
    </row>
    <row r="8" spans="1:11" s="210" customFormat="1" ht="15" customHeight="1">
      <c r="B8" s="1194" t="s">
        <v>111</v>
      </c>
      <c r="C8" s="1195"/>
      <c r="D8" s="1195"/>
      <c r="E8" s="1196"/>
      <c r="F8" s="1243"/>
      <c r="K8" s="210" t="s">
        <v>111</v>
      </c>
    </row>
    <row r="9" spans="1:11" s="210" customFormat="1" ht="15" customHeight="1">
      <c r="K9" s="46" t="s">
        <v>167</v>
      </c>
    </row>
    <row r="10" spans="1:11" s="210" customFormat="1" ht="16.149999999999999" customHeight="1">
      <c r="B10" s="1079" t="s">
        <v>816</v>
      </c>
      <c r="C10" s="1079"/>
      <c r="K10" s="46" t="s">
        <v>168</v>
      </c>
    </row>
    <row r="11" spans="1:11" s="210" customFormat="1" ht="15" customHeight="1"/>
    <row r="12" spans="1:11" s="210" customFormat="1" ht="15" customHeight="1">
      <c r="B12" s="1507">
        <f>A7-1</f>
        <v>-2</v>
      </c>
      <c r="C12" s="1507"/>
      <c r="D12" s="218">
        <f>B12-1</f>
        <v>-3</v>
      </c>
      <c r="E12" s="218">
        <f t="shared" ref="E12:I12" si="0">D12-1</f>
        <v>-4</v>
      </c>
      <c r="F12" s="218">
        <f t="shared" si="0"/>
        <v>-5</v>
      </c>
      <c r="G12" s="218">
        <f t="shared" si="0"/>
        <v>-6</v>
      </c>
      <c r="H12" s="218">
        <f t="shared" si="0"/>
        <v>-7</v>
      </c>
      <c r="I12" s="218">
        <f t="shared" si="0"/>
        <v>-8</v>
      </c>
    </row>
    <row r="13" spans="1:11" s="1064" customFormat="1" ht="32.450000000000003" customHeight="1">
      <c r="B13" s="1518" t="s">
        <v>102</v>
      </c>
      <c r="C13" s="1519"/>
      <c r="D13" s="1059" t="s">
        <v>805</v>
      </c>
      <c r="E13" s="1059" t="s">
        <v>806</v>
      </c>
      <c r="F13" s="1059" t="s">
        <v>807</v>
      </c>
      <c r="G13" s="1059" t="s">
        <v>808</v>
      </c>
      <c r="H13" s="1059" t="s">
        <v>809</v>
      </c>
      <c r="I13" s="1059" t="s">
        <v>810</v>
      </c>
    </row>
    <row r="14" spans="1:11" s="210" customFormat="1" ht="15" customHeight="1">
      <c r="B14" s="1520"/>
      <c r="C14" s="1521"/>
      <c r="D14" s="646"/>
      <c r="E14" s="739"/>
      <c r="F14" s="740"/>
      <c r="G14" s="646"/>
      <c r="H14" s="739"/>
      <c r="I14" s="741"/>
      <c r="K14" s="1113" t="s">
        <v>626</v>
      </c>
    </row>
    <row r="15" spans="1:11" s="210" customFormat="1" ht="15" customHeight="1">
      <c r="B15" s="1499"/>
      <c r="C15" s="1500"/>
      <c r="D15" s="650"/>
      <c r="E15" s="742"/>
      <c r="F15" s="743"/>
      <c r="G15" s="650"/>
      <c r="H15" s="742"/>
      <c r="I15" s="744"/>
      <c r="K15" s="764" t="s">
        <v>627</v>
      </c>
    </row>
    <row r="16" spans="1:11" s="210" customFormat="1" ht="15" customHeight="1">
      <c r="B16" s="1499"/>
      <c r="C16" s="1500"/>
      <c r="D16" s="650"/>
      <c r="E16" s="742"/>
      <c r="F16" s="743"/>
      <c r="G16" s="745"/>
      <c r="H16" s="746"/>
      <c r="I16" s="744"/>
      <c r="K16" s="764" t="s">
        <v>628</v>
      </c>
    </row>
    <row r="17" spans="1:11" s="210" customFormat="1" ht="15" customHeight="1">
      <c r="B17" s="1499"/>
      <c r="C17" s="1500"/>
      <c r="D17" s="650"/>
      <c r="E17" s="742"/>
      <c r="F17" s="743"/>
      <c r="G17" s="745"/>
      <c r="H17" s="746"/>
      <c r="I17" s="747"/>
      <c r="K17" s="1114" t="s">
        <v>715</v>
      </c>
    </row>
    <row r="18" spans="1:11" s="210" customFormat="1" ht="15" customHeight="1">
      <c r="B18" s="1499"/>
      <c r="C18" s="1500"/>
      <c r="D18" s="650"/>
      <c r="E18" s="742"/>
      <c r="F18" s="743"/>
      <c r="G18" s="745"/>
      <c r="H18" s="746"/>
      <c r="I18" s="747"/>
    </row>
    <row r="19" spans="1:11" s="210" customFormat="1" ht="15" customHeight="1">
      <c r="B19" s="1503"/>
      <c r="C19" s="1504"/>
      <c r="D19" s="745"/>
      <c r="E19" s="746"/>
      <c r="F19" s="743"/>
      <c r="G19" s="745"/>
      <c r="H19" s="746"/>
      <c r="I19" s="747"/>
    </row>
    <row r="20" spans="1:11" s="210" customFormat="1" ht="15" customHeight="1">
      <c r="B20" s="1503"/>
      <c r="C20" s="1504"/>
      <c r="D20" s="745"/>
      <c r="E20" s="746"/>
      <c r="F20" s="743"/>
      <c r="G20" s="745"/>
      <c r="H20" s="746"/>
      <c r="I20" s="747"/>
      <c r="K20" s="1065"/>
    </row>
    <row r="21" spans="1:11" s="210" customFormat="1" ht="15" customHeight="1">
      <c r="B21" s="1503"/>
      <c r="C21" s="1504"/>
      <c r="D21" s="745"/>
      <c r="E21" s="746"/>
      <c r="F21" s="743"/>
      <c r="G21" s="745"/>
      <c r="H21" s="746"/>
      <c r="I21" s="747"/>
      <c r="K21" s="764" t="s">
        <v>794</v>
      </c>
    </row>
    <row r="22" spans="1:11" s="210" customFormat="1" ht="15" customHeight="1">
      <c r="B22" s="1501"/>
      <c r="C22" s="1502"/>
      <c r="D22" s="1066"/>
      <c r="E22" s="749"/>
      <c r="F22" s="750"/>
      <c r="G22" s="748"/>
      <c r="H22" s="749"/>
      <c r="I22" s="751"/>
      <c r="K22" s="764" t="s">
        <v>795</v>
      </c>
    </row>
    <row r="23" spans="1:11" s="210" customFormat="1" ht="15" customHeight="1">
      <c r="K23" s="764" t="s">
        <v>715</v>
      </c>
    </row>
    <row r="24" spans="1:11" s="210" customFormat="1" ht="15" customHeight="1">
      <c r="A24" s="424">
        <f>I12-1</f>
        <v>-9</v>
      </c>
      <c r="B24" s="1471" t="s">
        <v>804</v>
      </c>
      <c r="C24" s="1472"/>
      <c r="D24" s="1472"/>
      <c r="E24" s="1472"/>
      <c r="F24" s="1472"/>
      <c r="G24" s="1472"/>
      <c r="H24" s="1472"/>
      <c r="I24" s="1473"/>
    </row>
    <row r="25" spans="1:11" s="210" customFormat="1" ht="15" customHeight="1">
      <c r="B25" s="1362"/>
      <c r="C25" s="1363"/>
      <c r="D25" s="1363"/>
      <c r="E25" s="1363"/>
      <c r="F25" s="1363"/>
      <c r="G25" s="1363"/>
      <c r="H25" s="1363"/>
      <c r="I25" s="1364"/>
    </row>
    <row r="26" spans="1:11" s="210" customFormat="1" ht="15" customHeight="1">
      <c r="B26" s="1298"/>
      <c r="C26" s="1299"/>
      <c r="D26" s="1299"/>
      <c r="E26" s="1299"/>
      <c r="F26" s="1299"/>
      <c r="G26" s="1299"/>
      <c r="H26" s="1299"/>
      <c r="I26" s="1300"/>
    </row>
    <row r="27" spans="1:11" s="210" customFormat="1" ht="15" customHeight="1">
      <c r="B27" s="1298"/>
      <c r="C27" s="1299"/>
      <c r="D27" s="1299"/>
      <c r="E27" s="1299"/>
      <c r="F27" s="1299"/>
      <c r="G27" s="1299"/>
      <c r="H27" s="1299"/>
      <c r="I27" s="1300"/>
    </row>
    <row r="28" spans="1:11" s="210" customFormat="1" ht="15" customHeight="1">
      <c r="B28" s="1298"/>
      <c r="C28" s="1299"/>
      <c r="D28" s="1299"/>
      <c r="E28" s="1299"/>
      <c r="F28" s="1299"/>
      <c r="G28" s="1299"/>
      <c r="H28" s="1299"/>
      <c r="I28" s="1300"/>
    </row>
    <row r="29" spans="1:11" s="210" customFormat="1" ht="15" customHeight="1">
      <c r="B29" s="1298"/>
      <c r="C29" s="1299"/>
      <c r="D29" s="1299"/>
      <c r="E29" s="1299"/>
      <c r="F29" s="1299"/>
      <c r="G29" s="1299"/>
      <c r="H29" s="1299"/>
      <c r="I29" s="1300"/>
    </row>
    <row r="30" spans="1:11" s="210" customFormat="1" ht="15" customHeight="1">
      <c r="B30" s="1298"/>
      <c r="C30" s="1299"/>
      <c r="D30" s="1299"/>
      <c r="E30" s="1299"/>
      <c r="F30" s="1299"/>
      <c r="G30" s="1299"/>
      <c r="H30" s="1299"/>
      <c r="I30" s="1300"/>
    </row>
    <row r="31" spans="1:11" s="210" customFormat="1" ht="15" customHeight="1">
      <c r="B31" s="1298"/>
      <c r="C31" s="1299"/>
      <c r="D31" s="1299"/>
      <c r="E31" s="1299"/>
      <c r="F31" s="1299"/>
      <c r="G31" s="1299"/>
      <c r="H31" s="1299"/>
      <c r="I31" s="1300"/>
    </row>
    <row r="32" spans="1:11" s="210" customFormat="1" ht="15" customHeight="1">
      <c r="B32" s="1301"/>
      <c r="C32" s="1302"/>
      <c r="D32" s="1302"/>
      <c r="E32" s="1302"/>
      <c r="F32" s="1302"/>
      <c r="G32" s="1302"/>
      <c r="H32" s="1302"/>
      <c r="I32" s="1303"/>
    </row>
    <row r="33" spans="1:12" s="210" customFormat="1" ht="15" customHeight="1"/>
    <row r="34" spans="1:12" s="210" customFormat="1" ht="25.9" customHeight="1">
      <c r="A34" s="218">
        <f>A24-1</f>
        <v>-10</v>
      </c>
      <c r="B34" s="492" t="s">
        <v>103</v>
      </c>
      <c r="C34" s="1131"/>
      <c r="D34" s="1080"/>
      <c r="F34" s="1492"/>
      <c r="G34" s="1492"/>
      <c r="H34" s="1492"/>
      <c r="I34" s="1492"/>
    </row>
    <row r="35" spans="1:12" s="210" customFormat="1" ht="15" customHeight="1">
      <c r="K35" s="46" t="s">
        <v>833</v>
      </c>
    </row>
    <row r="36" spans="1:12" s="210" customFormat="1" ht="15" customHeight="1">
      <c r="A36" s="218">
        <f>A34-1</f>
        <v>-11</v>
      </c>
      <c r="B36" s="1380" t="s">
        <v>782</v>
      </c>
      <c r="C36" s="1381"/>
      <c r="D36" s="1481"/>
      <c r="E36" s="1481"/>
      <c r="F36" s="1481"/>
      <c r="G36" s="1481"/>
      <c r="H36" s="1481"/>
      <c r="I36" s="1482"/>
      <c r="K36" s="46" t="s">
        <v>827</v>
      </c>
      <c r="L36" s="752"/>
    </row>
    <row r="37" spans="1:12" s="210" customFormat="1" ht="15" customHeight="1">
      <c r="B37" s="1483"/>
      <c r="C37" s="1484"/>
      <c r="D37" s="1484"/>
      <c r="E37" s="1484"/>
      <c r="F37" s="1484"/>
      <c r="G37" s="1484"/>
      <c r="H37" s="1484"/>
      <c r="I37" s="1485"/>
    </row>
    <row r="38" spans="1:12" s="210" customFormat="1" ht="15" customHeight="1">
      <c r="B38" s="1133" t="s">
        <v>833</v>
      </c>
      <c r="C38" s="1129"/>
      <c r="D38" s="1129"/>
      <c r="E38" s="1129"/>
      <c r="F38" s="1129"/>
      <c r="G38" s="1129"/>
      <c r="H38" s="1129"/>
      <c r="I38" s="1130"/>
    </row>
    <row r="39" spans="1:12" s="210" customFormat="1" ht="15" customHeight="1"/>
    <row r="40" spans="1:12" s="210" customFormat="1" ht="25.9" customHeight="1">
      <c r="A40" s="218">
        <f>A36-1</f>
        <v>-12</v>
      </c>
      <c r="B40" s="1516" t="s">
        <v>814</v>
      </c>
      <c r="C40" s="1517"/>
      <c r="D40" s="1517"/>
      <c r="E40" s="1171" t="s">
        <v>833</v>
      </c>
      <c r="F40" s="1142"/>
      <c r="G40" s="1142"/>
      <c r="H40" s="1142"/>
      <c r="I40" s="1143"/>
      <c r="L40" s="752"/>
    </row>
    <row r="41" spans="1:12" s="210" customFormat="1" ht="15" customHeight="1">
      <c r="A41" s="495"/>
      <c r="B41" s="276"/>
      <c r="C41" s="276"/>
      <c r="D41" s="276"/>
      <c r="E41" s="276"/>
      <c r="F41" s="276"/>
      <c r="G41" s="276"/>
      <c r="H41" s="276"/>
      <c r="I41" s="276"/>
    </row>
    <row r="42" spans="1:12" s="210" customFormat="1" ht="15" customHeight="1">
      <c r="A42" s="1474">
        <f>A40-1</f>
        <v>-13</v>
      </c>
      <c r="B42" s="1486" t="s">
        <v>815</v>
      </c>
      <c r="C42" s="1487"/>
      <c r="D42" s="1487"/>
      <c r="E42" s="1487"/>
      <c r="F42" s="1487"/>
      <c r="G42" s="1487"/>
      <c r="H42" s="1487"/>
      <c r="I42" s="1488"/>
    </row>
    <row r="43" spans="1:12" s="210" customFormat="1" ht="15" customHeight="1">
      <c r="A43" s="1474"/>
      <c r="B43" s="1489"/>
      <c r="C43" s="1490"/>
      <c r="D43" s="1490"/>
      <c r="E43" s="1490"/>
      <c r="F43" s="1490"/>
      <c r="G43" s="1490"/>
      <c r="H43" s="1490"/>
      <c r="I43" s="1491"/>
    </row>
    <row r="44" spans="1:12" s="210" customFormat="1" ht="15" customHeight="1">
      <c r="A44" s="1474"/>
      <c r="B44" s="1172" t="s">
        <v>833</v>
      </c>
      <c r="C44" s="1494" t="s">
        <v>826</v>
      </c>
      <c r="D44" s="1495"/>
      <c r="E44" s="1495"/>
      <c r="F44" s="1495"/>
      <c r="G44" s="1495"/>
      <c r="H44" s="1495"/>
      <c r="I44" s="1496"/>
      <c r="L44" s="752"/>
    </row>
    <row r="45" spans="1:12" s="210" customFormat="1" ht="15" customHeight="1">
      <c r="A45" s="1474"/>
      <c r="B45" s="1208" t="s">
        <v>833</v>
      </c>
      <c r="C45" s="1508" t="s">
        <v>828</v>
      </c>
      <c r="D45" s="1509"/>
      <c r="E45" s="1509"/>
      <c r="F45" s="1509"/>
      <c r="G45" s="1509"/>
      <c r="H45" s="1509"/>
      <c r="I45" s="1510"/>
      <c r="L45" s="752"/>
    </row>
    <row r="46" spans="1:12" s="210" customFormat="1">
      <c r="A46" s="1474"/>
      <c r="B46" s="1514" t="s">
        <v>833</v>
      </c>
      <c r="C46" s="1508" t="s">
        <v>831</v>
      </c>
      <c r="D46" s="1509"/>
      <c r="E46" s="1509"/>
      <c r="F46" s="1509"/>
      <c r="G46" s="1509"/>
      <c r="H46" s="1509"/>
      <c r="I46" s="1510"/>
      <c r="L46" s="752"/>
    </row>
    <row r="47" spans="1:12" s="210" customFormat="1">
      <c r="A47" s="1474"/>
      <c r="B47" s="1514"/>
      <c r="C47" s="1508"/>
      <c r="D47" s="1509"/>
      <c r="E47" s="1509"/>
      <c r="F47" s="1509"/>
      <c r="G47" s="1509"/>
      <c r="H47" s="1509"/>
      <c r="I47" s="1510"/>
      <c r="L47" s="752"/>
    </row>
    <row r="48" spans="1:12" s="210" customFormat="1" ht="15" customHeight="1">
      <c r="A48" s="1474"/>
      <c r="B48" s="1208" t="s">
        <v>833</v>
      </c>
      <c r="C48" s="1508" t="s">
        <v>829</v>
      </c>
      <c r="D48" s="1509"/>
      <c r="E48" s="1509"/>
      <c r="F48" s="1509"/>
      <c r="G48" s="1509"/>
      <c r="H48" s="1509"/>
      <c r="I48" s="1510"/>
      <c r="L48" s="752"/>
    </row>
    <row r="49" spans="1:12" s="210" customFormat="1" ht="15" customHeight="1">
      <c r="A49" s="1474"/>
      <c r="B49" s="1208" t="s">
        <v>833</v>
      </c>
      <c r="C49" s="1508" t="s">
        <v>830</v>
      </c>
      <c r="D49" s="1509"/>
      <c r="E49" s="1509"/>
      <c r="F49" s="1509"/>
      <c r="G49" s="1509"/>
      <c r="H49" s="1509"/>
      <c r="I49" s="1510"/>
      <c r="L49" s="752"/>
    </row>
    <row r="50" spans="1:12" s="210" customFormat="1" ht="15" customHeight="1">
      <c r="A50" s="1474"/>
      <c r="B50" s="1514" t="s">
        <v>833</v>
      </c>
      <c r="C50" s="1508" t="s">
        <v>832</v>
      </c>
      <c r="D50" s="1509"/>
      <c r="E50" s="1509"/>
      <c r="F50" s="1509"/>
      <c r="G50" s="1509"/>
      <c r="H50" s="1509"/>
      <c r="I50" s="1510"/>
      <c r="L50" s="752"/>
    </row>
    <row r="51" spans="1:12" s="210" customFormat="1">
      <c r="A51" s="1474"/>
      <c r="B51" s="1515"/>
      <c r="C51" s="1511"/>
      <c r="D51" s="1512"/>
      <c r="E51" s="1512"/>
      <c r="F51" s="1512"/>
      <c r="G51" s="1512"/>
      <c r="H51" s="1512"/>
      <c r="I51" s="1513"/>
      <c r="L51" s="752"/>
    </row>
    <row r="52" spans="1:12" s="210" customFormat="1" ht="15" customHeight="1">
      <c r="A52" s="495"/>
      <c r="B52" s="276"/>
      <c r="C52" s="276"/>
      <c r="D52" s="276"/>
      <c r="E52" s="276"/>
      <c r="F52" s="276"/>
      <c r="G52" s="276"/>
      <c r="H52" s="276"/>
      <c r="I52" s="276"/>
    </row>
    <row r="53" spans="1:12" s="210" customFormat="1" ht="15" customHeight="1">
      <c r="A53" s="1071"/>
      <c r="B53" s="1079" t="s">
        <v>817</v>
      </c>
      <c r="C53" s="1079"/>
      <c r="D53" s="1078"/>
      <c r="E53" s="276"/>
      <c r="F53" s="276"/>
      <c r="G53" s="276"/>
      <c r="H53" s="276"/>
      <c r="I53" s="276"/>
    </row>
    <row r="54" spans="1:12" s="210" customFormat="1" ht="15" customHeight="1">
      <c r="A54" s="1071"/>
      <c r="B54" s="276"/>
      <c r="C54" s="276"/>
      <c r="D54" s="276"/>
      <c r="E54" s="276"/>
      <c r="F54" s="276"/>
      <c r="G54" s="276"/>
      <c r="H54" s="276"/>
      <c r="I54" s="276"/>
    </row>
    <row r="55" spans="1:12" s="210" customFormat="1" ht="15" customHeight="1">
      <c r="B55" s="1507">
        <f>A42-1</f>
        <v>-14</v>
      </c>
      <c r="C55" s="1507"/>
      <c r="D55" s="1061">
        <f>B55-1</f>
        <v>-15</v>
      </c>
      <c r="E55" s="1061">
        <f t="shared" ref="E55:I55" si="1">D55-1</f>
        <v>-16</v>
      </c>
      <c r="F55" s="1061">
        <f t="shared" si="1"/>
        <v>-17</v>
      </c>
      <c r="G55" s="1061">
        <f t="shared" si="1"/>
        <v>-18</v>
      </c>
      <c r="H55" s="424">
        <f t="shared" si="1"/>
        <v>-19</v>
      </c>
      <c r="I55" s="1061">
        <f t="shared" si="1"/>
        <v>-20</v>
      </c>
    </row>
    <row r="56" spans="1:12" s="210" customFormat="1" ht="57.6" customHeight="1">
      <c r="B56" s="1493" t="s">
        <v>467</v>
      </c>
      <c r="C56" s="1493"/>
      <c r="D56" s="1062" t="s">
        <v>811</v>
      </c>
      <c r="E56" s="1062" t="s">
        <v>812</v>
      </c>
      <c r="F56" s="1062" t="s">
        <v>813</v>
      </c>
      <c r="G56" s="1062" t="s">
        <v>784</v>
      </c>
      <c r="H56" s="346" t="s">
        <v>466</v>
      </c>
      <c r="I56" s="346" t="s">
        <v>601</v>
      </c>
    </row>
    <row r="57" spans="1:12" s="210" customFormat="1" ht="15" customHeight="1">
      <c r="B57" s="1498" t="str">
        <f>TEXT(D14,"") &amp; " " &amp; TEXT(B14,"")</f>
        <v xml:space="preserve"> </v>
      </c>
      <c r="C57" s="1498"/>
      <c r="D57" s="1139"/>
      <c r="E57" s="1058"/>
      <c r="F57" s="1088" t="str">
        <f>IF(B14="","",'1-Indication'!$E$14)</f>
        <v/>
      </c>
      <c r="G57" s="1068" t="str">
        <f>IFERROR((D57*(1+E57))/F57,"")</f>
        <v/>
      </c>
      <c r="H57" s="647"/>
      <c r="I57" s="754"/>
    </row>
    <row r="58" spans="1:12" s="210" customFormat="1" ht="15" customHeight="1">
      <c r="B58" s="1497" t="str">
        <f t="shared" ref="B58:B65" si="2">TEXT(D15,"") &amp; " " &amp; TEXT(B15,"")</f>
        <v xml:space="preserve"> </v>
      </c>
      <c r="C58" s="1497"/>
      <c r="D58" s="1140"/>
      <c r="E58" s="1057"/>
      <c r="F58" s="1089" t="str">
        <f>IF(B15="","",'1-Indication'!$E$14)</f>
        <v/>
      </c>
      <c r="G58" s="1069" t="str">
        <f t="shared" ref="G58:G65" si="3">IFERROR((D58*(1+E58))/F58,"")</f>
        <v/>
      </c>
      <c r="H58" s="651"/>
      <c r="I58" s="899"/>
    </row>
    <row r="59" spans="1:12" s="210" customFormat="1" ht="15" customHeight="1">
      <c r="B59" s="1497" t="str">
        <f t="shared" si="2"/>
        <v xml:space="preserve"> </v>
      </c>
      <c r="C59" s="1497"/>
      <c r="D59" s="1140"/>
      <c r="E59" s="1057"/>
      <c r="F59" s="1089" t="str">
        <f>IF(B16="","",'1-Indication'!$E$14)</f>
        <v/>
      </c>
      <c r="G59" s="1069" t="str">
        <f t="shared" si="3"/>
        <v/>
      </c>
      <c r="H59" s="651"/>
      <c r="I59" s="899"/>
    </row>
    <row r="60" spans="1:12" s="210" customFormat="1" ht="15" customHeight="1">
      <c r="B60" s="1497" t="str">
        <f t="shared" si="2"/>
        <v xml:space="preserve"> </v>
      </c>
      <c r="C60" s="1497"/>
      <c r="D60" s="1140"/>
      <c r="E60" s="1057"/>
      <c r="F60" s="1089" t="str">
        <f>IF(B17="","",'1-Indication'!$E$14)</f>
        <v/>
      </c>
      <c r="G60" s="1069" t="str">
        <f t="shared" ref="G60" si="4">IFERROR((D60*(1+E60))/F60,"")</f>
        <v/>
      </c>
      <c r="H60" s="651"/>
      <c r="I60" s="899"/>
    </row>
    <row r="61" spans="1:12" s="210" customFormat="1" ht="15" customHeight="1">
      <c r="B61" s="1497" t="str">
        <f t="shared" si="2"/>
        <v xml:space="preserve"> </v>
      </c>
      <c r="C61" s="1497"/>
      <c r="D61" s="1140"/>
      <c r="E61" s="1057"/>
      <c r="F61" s="1089" t="str">
        <f>IF(B18="","",'1-Indication'!$E$14)</f>
        <v/>
      </c>
      <c r="G61" s="1069" t="str">
        <f t="shared" si="3"/>
        <v/>
      </c>
      <c r="H61" s="651"/>
      <c r="I61" s="899"/>
    </row>
    <row r="62" spans="1:12" s="210" customFormat="1" ht="15" customHeight="1">
      <c r="B62" s="1497" t="str">
        <f t="shared" si="2"/>
        <v xml:space="preserve"> </v>
      </c>
      <c r="C62" s="1497"/>
      <c r="D62" s="1140"/>
      <c r="E62" s="1057"/>
      <c r="F62" s="1089" t="str">
        <f>IF(B19="","",'1-Indication'!$E$14)</f>
        <v/>
      </c>
      <c r="G62" s="1069" t="str">
        <f t="shared" si="3"/>
        <v/>
      </c>
      <c r="H62" s="651"/>
      <c r="I62" s="899"/>
    </row>
    <row r="63" spans="1:12" s="210" customFormat="1" ht="15" customHeight="1">
      <c r="B63" s="1497" t="str">
        <f t="shared" si="2"/>
        <v xml:space="preserve"> </v>
      </c>
      <c r="C63" s="1497"/>
      <c r="D63" s="1140"/>
      <c r="E63" s="1057"/>
      <c r="F63" s="1089" t="str">
        <f>IF(B20="","",'1-Indication'!$E$14)</f>
        <v/>
      </c>
      <c r="G63" s="1069" t="str">
        <f t="shared" si="3"/>
        <v/>
      </c>
      <c r="H63" s="651"/>
      <c r="I63" s="899"/>
    </row>
    <row r="64" spans="1:12" s="210" customFormat="1" ht="15" customHeight="1">
      <c r="B64" s="1497" t="str">
        <f t="shared" si="2"/>
        <v xml:space="preserve"> </v>
      </c>
      <c r="C64" s="1497"/>
      <c r="D64" s="1140"/>
      <c r="E64" s="1057"/>
      <c r="F64" s="1089" t="str">
        <f>IF(B21="","",'1-Indication'!$E$14)</f>
        <v/>
      </c>
      <c r="G64" s="1069" t="str">
        <f t="shared" si="3"/>
        <v/>
      </c>
      <c r="H64" s="651"/>
      <c r="I64" s="899"/>
    </row>
    <row r="65" spans="1:13" s="210" customFormat="1" ht="15" customHeight="1">
      <c r="B65" s="1506" t="str">
        <f t="shared" si="2"/>
        <v xml:space="preserve"> </v>
      </c>
      <c r="C65" s="1506"/>
      <c r="D65" s="1141"/>
      <c r="E65" s="1067"/>
      <c r="F65" s="1090" t="str">
        <f>IF(B22="","",'1-Indication'!$E$14)</f>
        <v/>
      </c>
      <c r="G65" s="1070" t="str">
        <f t="shared" si="3"/>
        <v/>
      </c>
      <c r="H65" s="753"/>
      <c r="I65" s="900"/>
    </row>
    <row r="66" spans="1:13" s="210" customFormat="1" ht="15" customHeight="1">
      <c r="B66" s="1505" t="s">
        <v>8</v>
      </c>
      <c r="C66" s="1505"/>
      <c r="D66" s="1063">
        <f>SUMPRODUCT(D57:D65,H57:H65)</f>
        <v>0</v>
      </c>
      <c r="E66" s="1063">
        <f>SUMPRODUCT(D57:D65,E57:E65,H57:H65)+SUMPRODUCT(D57:D65,H57:H65)</f>
        <v>0</v>
      </c>
      <c r="F66" s="1063" t="str">
        <f>F57</f>
        <v/>
      </c>
      <c r="G66" s="1060">
        <f>SUMPRODUCT(G57:G65,H57:H65)</f>
        <v>0</v>
      </c>
      <c r="H66" s="213">
        <f>SUM(H57:H65)</f>
        <v>0</v>
      </c>
      <c r="I66" s="1060">
        <f>SUMPRODUCT(H57:H65,I57:I65)</f>
        <v>0</v>
      </c>
    </row>
    <row r="67" spans="1:13" s="217" customFormat="1" ht="15" customHeight="1">
      <c r="B67" s="214"/>
      <c r="C67" s="214"/>
      <c r="D67" s="215"/>
      <c r="E67" s="215"/>
      <c r="F67" s="215"/>
      <c r="G67" s="215"/>
      <c r="H67" s="215"/>
      <c r="I67" s="216"/>
      <c r="J67" s="210"/>
      <c r="K67" s="217" t="s">
        <v>111</v>
      </c>
    </row>
    <row r="68" spans="1:13" s="217" customFormat="1" ht="15" customHeight="1">
      <c r="A68" s="485">
        <f>I55-1</f>
        <v>-21</v>
      </c>
      <c r="B68" s="1478" t="s">
        <v>855</v>
      </c>
      <c r="C68" s="1479"/>
      <c r="D68" s="1479"/>
      <c r="E68" s="1479"/>
      <c r="F68" s="1479"/>
      <c r="G68" s="1479"/>
      <c r="H68" s="1479"/>
      <c r="I68" s="1480"/>
      <c r="J68" s="210"/>
      <c r="K68" s="755" t="s">
        <v>105</v>
      </c>
      <c r="L68" s="755"/>
      <c r="M68" s="755"/>
    </row>
    <row r="69" spans="1:13" s="217" customFormat="1" ht="15" customHeight="1">
      <c r="A69" s="485"/>
      <c r="B69" s="1115" t="s">
        <v>111</v>
      </c>
      <c r="C69" s="1136"/>
      <c r="D69" s="1110"/>
      <c r="E69" s="1110"/>
      <c r="F69" s="1110"/>
      <c r="G69" s="1110"/>
      <c r="H69" s="1110"/>
      <c r="I69" s="1111"/>
      <c r="J69" s="210"/>
      <c r="K69" s="755" t="s">
        <v>822</v>
      </c>
      <c r="L69" s="755"/>
      <c r="M69" s="755"/>
    </row>
    <row r="70" spans="1:13" s="217" customFormat="1" ht="15" customHeight="1">
      <c r="B70" s="214"/>
      <c r="C70" s="214"/>
      <c r="D70" s="215"/>
      <c r="E70" s="215"/>
      <c r="F70" s="215"/>
      <c r="G70" s="215"/>
      <c r="H70" s="215"/>
      <c r="I70" s="216"/>
      <c r="J70" s="210"/>
    </row>
    <row r="71" spans="1:13" s="210" customFormat="1" ht="15" customHeight="1">
      <c r="A71" s="218">
        <f>A68-1</f>
        <v>-22</v>
      </c>
      <c r="B71" s="1475" t="s">
        <v>856</v>
      </c>
      <c r="C71" s="1476"/>
      <c r="D71" s="1476"/>
      <c r="E71" s="1476"/>
      <c r="F71" s="1476"/>
      <c r="G71" s="1476"/>
      <c r="H71" s="1476"/>
      <c r="I71" s="1477"/>
    </row>
    <row r="72" spans="1:13" s="210" customFormat="1" ht="15" customHeight="1">
      <c r="B72" s="1362"/>
      <c r="C72" s="1363"/>
      <c r="D72" s="1363"/>
      <c r="E72" s="1363"/>
      <c r="F72" s="1363"/>
      <c r="G72" s="1363"/>
      <c r="H72" s="1363"/>
      <c r="I72" s="1364"/>
    </row>
    <row r="73" spans="1:13" s="210" customFormat="1" ht="15" customHeight="1">
      <c r="B73" s="1298"/>
      <c r="C73" s="1299"/>
      <c r="D73" s="1299"/>
      <c r="E73" s="1299"/>
      <c r="F73" s="1299"/>
      <c r="G73" s="1299"/>
      <c r="H73" s="1299"/>
      <c r="I73" s="1300"/>
    </row>
    <row r="74" spans="1:13" s="210" customFormat="1" ht="15" customHeight="1">
      <c r="B74" s="1298"/>
      <c r="C74" s="1299"/>
      <c r="D74" s="1299"/>
      <c r="E74" s="1299"/>
      <c r="F74" s="1299"/>
      <c r="G74" s="1299"/>
      <c r="H74" s="1299"/>
      <c r="I74" s="1300"/>
    </row>
    <row r="75" spans="1:13" s="210" customFormat="1" ht="15" customHeight="1">
      <c r="B75" s="1298"/>
      <c r="C75" s="1299"/>
      <c r="D75" s="1299"/>
      <c r="E75" s="1299"/>
      <c r="F75" s="1299"/>
      <c r="G75" s="1299"/>
      <c r="H75" s="1299"/>
      <c r="I75" s="1300"/>
    </row>
    <row r="76" spans="1:13" s="210" customFormat="1" ht="15" customHeight="1">
      <c r="B76" s="1298"/>
      <c r="C76" s="1299"/>
      <c r="D76" s="1299"/>
      <c r="E76" s="1299"/>
      <c r="F76" s="1299"/>
      <c r="G76" s="1299"/>
      <c r="H76" s="1299"/>
      <c r="I76" s="1300"/>
    </row>
    <row r="77" spans="1:13" s="210" customFormat="1" ht="15" customHeight="1">
      <c r="B77" s="1298"/>
      <c r="C77" s="1299"/>
      <c r="D77" s="1299"/>
      <c r="E77" s="1299"/>
      <c r="F77" s="1299"/>
      <c r="G77" s="1299"/>
      <c r="H77" s="1299"/>
      <c r="I77" s="1300"/>
    </row>
    <row r="78" spans="1:13" s="210" customFormat="1" ht="15" customHeight="1">
      <c r="B78" s="1298"/>
      <c r="C78" s="1299"/>
      <c r="D78" s="1299"/>
      <c r="E78" s="1299"/>
      <c r="F78" s="1299"/>
      <c r="G78" s="1299"/>
      <c r="H78" s="1299"/>
      <c r="I78" s="1300"/>
    </row>
    <row r="79" spans="1:13" s="210" customFormat="1" ht="15" customHeight="1">
      <c r="B79" s="1301"/>
      <c r="C79" s="1302"/>
      <c r="D79" s="1302"/>
      <c r="E79" s="1302"/>
      <c r="F79" s="1302"/>
      <c r="G79" s="1302"/>
      <c r="H79" s="1302"/>
      <c r="I79" s="1303"/>
    </row>
    <row r="80" spans="1:13" s="210" customFormat="1"/>
    <row r="81" s="210" customFormat="1"/>
    <row r="82" s="210" customFormat="1"/>
    <row r="83" s="210" customFormat="1"/>
    <row r="84" s="210" customFormat="1"/>
  </sheetData>
  <sheetProtection sheet="1" objects="1" scenarios="1"/>
  <mergeCells count="42">
    <mergeCell ref="B12:C12"/>
    <mergeCell ref="B55:C55"/>
    <mergeCell ref="C49:I49"/>
    <mergeCell ref="C48:I48"/>
    <mergeCell ref="C45:I45"/>
    <mergeCell ref="C46:I47"/>
    <mergeCell ref="C50:I51"/>
    <mergeCell ref="B50:B51"/>
    <mergeCell ref="B46:B47"/>
    <mergeCell ref="B40:D40"/>
    <mergeCell ref="B13:C13"/>
    <mergeCell ref="B15:C15"/>
    <mergeCell ref="B14:C14"/>
    <mergeCell ref="B18:C18"/>
    <mergeCell ref="B17:C17"/>
    <mergeCell ref="B66:C66"/>
    <mergeCell ref="B65:C65"/>
    <mergeCell ref="B64:C64"/>
    <mergeCell ref="B63:C63"/>
    <mergeCell ref="B62:C62"/>
    <mergeCell ref="B57:C57"/>
    <mergeCell ref="B16:C16"/>
    <mergeCell ref="B22:C22"/>
    <mergeCell ref="B21:C21"/>
    <mergeCell ref="B20:C20"/>
    <mergeCell ref="B19:C19"/>
    <mergeCell ref="B7:E7"/>
    <mergeCell ref="A42:A51"/>
    <mergeCell ref="B72:I79"/>
    <mergeCell ref="B71:I71"/>
    <mergeCell ref="B68:I68"/>
    <mergeCell ref="B24:I24"/>
    <mergeCell ref="B25:I32"/>
    <mergeCell ref="B36:I37"/>
    <mergeCell ref="B42:I43"/>
    <mergeCell ref="F34:I34"/>
    <mergeCell ref="B56:C56"/>
    <mergeCell ref="C44:I44"/>
    <mergeCell ref="B61:C61"/>
    <mergeCell ref="B60:C60"/>
    <mergeCell ref="B59:C59"/>
    <mergeCell ref="B58:C58"/>
  </mergeCells>
  <conditionalFormatting sqref="B14:B22 D14:I22">
    <cfRule type="expression" dxfId="68" priority="7">
      <formula>AND($B$14="",$B$8="Yes")</formula>
    </cfRule>
  </conditionalFormatting>
  <conditionalFormatting sqref="B57:B65 D57:I65">
    <cfRule type="expression" dxfId="67" priority="17">
      <formula>AND($B$57=" ",$B$8="Yes")</formula>
    </cfRule>
  </conditionalFormatting>
  <conditionalFormatting sqref="D34">
    <cfRule type="expression" dxfId="66" priority="16">
      <formula>AND($D$34="",$B$8="Yes")</formula>
    </cfRule>
  </conditionalFormatting>
  <conditionalFormatting sqref="B25:C25">
    <cfRule type="expression" dxfId="65" priority="15">
      <formula>AND($B$25="",$B$8="Yes")</formula>
    </cfRule>
  </conditionalFormatting>
  <conditionalFormatting sqref="B69:I69">
    <cfRule type="expression" dxfId="64" priority="13">
      <formula>AND(OR($B$69="Select",$B$69=""),$B$8="Yes")</formula>
    </cfRule>
  </conditionalFormatting>
  <conditionalFormatting sqref="D14:I22">
    <cfRule type="expression" dxfId="63" priority="10">
      <formula>AND(NOT($B14=""),D14="",$B$8="Yes")</formula>
    </cfRule>
  </conditionalFormatting>
  <conditionalFormatting sqref="H57:I65 D57:E65">
    <cfRule type="expression" dxfId="62" priority="6">
      <formula>AND(NOT($B57=" "),D57="",$B$8="Yes")</formula>
    </cfRule>
  </conditionalFormatting>
  <conditionalFormatting sqref="B71:C71">
    <cfRule type="expression" dxfId="61" priority="49">
      <formula>NOT(ROUND($G$66,3)=ROUND($I$66,3))</formula>
    </cfRule>
  </conditionalFormatting>
  <conditionalFormatting sqref="B72:C75">
    <cfRule type="expression" dxfId="60" priority="53">
      <formula>AND(NOT(ROUND($G$66,3)=ROUND($I$66,3)),$B$72="")</formula>
    </cfRule>
  </conditionalFormatting>
  <conditionalFormatting sqref="B44:B51">
    <cfRule type="expression" dxfId="59" priority="2">
      <formula>AND($B44="Unconfirmed",$B$8="Yes")</formula>
    </cfRule>
  </conditionalFormatting>
  <conditionalFormatting sqref="B38:I38">
    <cfRule type="expression" dxfId="58" priority="59">
      <formula>AND($B$38="Unconfirmed",$B$8="Yes")</formula>
    </cfRule>
  </conditionalFormatting>
  <conditionalFormatting sqref="E40:I40">
    <cfRule type="expression" dxfId="57" priority="62">
      <formula>AND($E$40="Unconfirmed",$B$8="Yes")</formula>
    </cfRule>
  </conditionalFormatting>
  <conditionalFormatting sqref="B8:E8">
    <cfRule type="expression" dxfId="56" priority="1">
      <formula>$B$8="Select"</formula>
    </cfRule>
  </conditionalFormatting>
  <dataValidations count="8">
    <dataValidation showInputMessage="1" showErrorMessage="1" sqref="C69"/>
    <dataValidation type="decimal" allowBlank="1" showErrorMessage="1" error="Weights must be between 0% and 100%." sqref="H57:H65">
      <formula1>0</formula1>
      <formula2>1</formula2>
    </dataValidation>
    <dataValidation showInputMessage="1" showErrorMessage="1" sqref="B57:B65"/>
    <dataValidation type="list" showInputMessage="1" showErrorMessage="1" sqref="I14:I22">
      <formula1>$K$13:$K$17</formula1>
    </dataValidation>
    <dataValidation type="list" showInputMessage="1" showErrorMessage="1" sqref="G14:H22">
      <formula1>$K$20:$K$23</formula1>
    </dataValidation>
    <dataValidation type="list" allowBlank="1" showInputMessage="1" showErrorMessage="1" sqref="B8">
      <formula1>$K$8:$K$10</formula1>
    </dataValidation>
    <dataValidation type="list" allowBlank="1" showInputMessage="1" showErrorMessage="1" sqref="B38 E40 B44:B51">
      <formula1>$K$35:$K$36</formula1>
    </dataValidation>
    <dataValidation type="list" showInputMessage="1" showErrorMessage="1" sqref="B69">
      <formula1>$K$67:$K$69</formula1>
    </dataValidation>
  </dataValidations>
  <printOptions horizontalCentered="1"/>
  <pageMargins left="0.25" right="0.5" top="0.5" bottom="0.5" header="0.3" footer="0.3"/>
  <pageSetup scale="82" fitToHeight="2" orientation="portrait" r:id="rId1"/>
  <headerFooter>
    <oddFooter>&amp;LRevised 3/2013&amp;RPage &amp;P of &amp;N</oddFooter>
  </headerFooter>
  <rowBreaks count="1" manualBreakCount="1">
    <brk id="51" max="8" man="1"/>
  </rowBreaks>
</worksheet>
</file>

<file path=xl/worksheets/sheet2.xml><?xml version="1.0" encoding="utf-8"?>
<worksheet xmlns="http://schemas.openxmlformats.org/spreadsheetml/2006/main" xmlns:r="http://schemas.openxmlformats.org/officeDocument/2006/relationships">
  <sheetPr codeName="Sheet2"/>
  <dimension ref="A1:J75"/>
  <sheetViews>
    <sheetView showGridLines="0" zoomScaleNormal="100" zoomScaleSheetLayoutView="100" workbookViewId="0">
      <pane ySplit="4" topLeftCell="A5" activePane="bottomLeft" state="frozen"/>
      <selection pane="bottomLeft"/>
    </sheetView>
  </sheetViews>
  <sheetFormatPr defaultColWidth="8.85546875" defaultRowHeight="15"/>
  <cols>
    <col min="1" max="1" width="0.7109375" style="355" customWidth="1"/>
    <col min="2" max="2" width="3.85546875" style="360" customWidth="1"/>
    <col min="3" max="4" width="3.140625" style="355" customWidth="1"/>
    <col min="5" max="5" width="78.5703125" style="360" customWidth="1"/>
    <col min="6" max="6" width="10.28515625" style="356" customWidth="1"/>
    <col min="7" max="7" width="10.7109375" style="936" hidden="1" customWidth="1"/>
    <col min="8" max="8" width="8.85546875" style="355" hidden="1" customWidth="1"/>
    <col min="9" max="16384" width="8.85546875" style="353"/>
  </cols>
  <sheetData>
    <row r="1" spans="1:10" ht="18.75">
      <c r="A1" s="860" t="str">
        <f>'General Information'!A1</f>
        <v>Texas Department of Insurance</v>
      </c>
      <c r="B1" s="855"/>
      <c r="E1" s="855"/>
      <c r="F1" s="975"/>
      <c r="G1" s="933"/>
      <c r="H1" s="356"/>
      <c r="I1" s="856"/>
      <c r="J1" s="856"/>
    </row>
    <row r="2" spans="1:10" ht="18.75">
      <c r="A2" s="860" t="str">
        <f>'General Information'!A2</f>
        <v>Property and Casualty Rate Filing Exhibits</v>
      </c>
      <c r="B2" s="855"/>
      <c r="E2" s="855"/>
      <c r="F2" s="975"/>
      <c r="G2" s="933"/>
      <c r="H2" s="356"/>
      <c r="I2" s="856"/>
      <c r="J2" s="856"/>
    </row>
    <row r="3" spans="1:10" ht="17.45" customHeight="1">
      <c r="A3" s="860"/>
      <c r="B3" s="855"/>
      <c r="E3" s="855"/>
      <c r="F3" s="975"/>
      <c r="G3" s="933"/>
      <c r="H3" s="356"/>
      <c r="I3" s="856"/>
      <c r="J3" s="856"/>
    </row>
    <row r="4" spans="1:10" ht="17.45" customHeight="1">
      <c r="A4" s="966" t="s">
        <v>732</v>
      </c>
      <c r="B4" s="966"/>
      <c r="C4" s="966"/>
      <c r="D4" s="966"/>
      <c r="E4" s="964"/>
      <c r="F4" s="975"/>
      <c r="G4" s="933"/>
      <c r="H4" s="356"/>
      <c r="I4" s="965"/>
      <c r="J4" s="965"/>
    </row>
    <row r="5" spans="1:10" ht="17.45" customHeight="1">
      <c r="A5" s="860"/>
      <c r="B5" s="855"/>
      <c r="E5" s="855"/>
      <c r="F5" s="975"/>
      <c r="G5" s="933"/>
      <c r="H5" s="356"/>
      <c r="I5" s="856"/>
      <c r="J5" s="856"/>
    </row>
    <row r="6" spans="1:10">
      <c r="A6" s="867" t="s">
        <v>165</v>
      </c>
      <c r="B6" s="872"/>
      <c r="C6" s="873"/>
      <c r="D6" s="873"/>
      <c r="E6" s="872"/>
      <c r="F6" s="874"/>
      <c r="G6" s="934"/>
      <c r="H6" s="420"/>
      <c r="I6" s="419"/>
      <c r="J6" s="419"/>
    </row>
    <row r="7" spans="1:10">
      <c r="B7" s="875">
        <v>-1</v>
      </c>
      <c r="C7" s="1247" t="s">
        <v>166</v>
      </c>
      <c r="D7" s="1248"/>
      <c r="E7" s="1249"/>
      <c r="F7" s="976"/>
      <c r="G7" s="1003" t="s">
        <v>167</v>
      </c>
      <c r="H7" s="421"/>
      <c r="I7" s="422"/>
      <c r="J7" s="422"/>
    </row>
    <row r="8" spans="1:10">
      <c r="B8" s="875">
        <v>-2</v>
      </c>
      <c r="C8" s="1250" t="s">
        <v>640</v>
      </c>
      <c r="D8" s="1251"/>
      <c r="E8" s="1252"/>
      <c r="F8" s="898"/>
      <c r="G8" s="1003" t="s">
        <v>168</v>
      </c>
      <c r="H8" s="421"/>
      <c r="I8" s="422"/>
      <c r="J8" s="422"/>
    </row>
    <row r="9" spans="1:10">
      <c r="B9" s="875">
        <v>-3</v>
      </c>
      <c r="C9" s="1253" t="s">
        <v>705</v>
      </c>
      <c r="D9" s="1254"/>
      <c r="E9" s="1255"/>
      <c r="F9" s="898"/>
      <c r="G9" s="935"/>
      <c r="H9" s="421"/>
      <c r="I9" s="422"/>
      <c r="J9" s="422"/>
    </row>
    <row r="10" spans="1:10">
      <c r="B10" s="875" t="s">
        <v>641</v>
      </c>
      <c r="C10" s="1250" t="s">
        <v>706</v>
      </c>
      <c r="D10" s="1251"/>
      <c r="E10" s="1252"/>
      <c r="F10" s="977"/>
      <c r="G10" s="935"/>
      <c r="H10" s="421"/>
      <c r="I10" s="422"/>
      <c r="J10" s="422"/>
    </row>
    <row r="11" spans="1:10" ht="28.15" customHeight="1">
      <c r="B11" s="875">
        <v>-4</v>
      </c>
      <c r="C11" s="1253" t="s">
        <v>707</v>
      </c>
      <c r="D11" s="1254"/>
      <c r="E11" s="1256"/>
      <c r="F11" s="898"/>
      <c r="G11" s="935"/>
      <c r="H11" s="421"/>
      <c r="I11" s="422"/>
      <c r="J11" s="422"/>
    </row>
    <row r="12" spans="1:10">
      <c r="B12" s="875" t="s">
        <v>642</v>
      </c>
      <c r="C12" s="1244" t="s">
        <v>668</v>
      </c>
      <c r="D12" s="1245"/>
      <c r="E12" s="1246"/>
      <c r="F12" s="978"/>
      <c r="G12" s="935"/>
      <c r="H12" s="421"/>
      <c r="I12" s="422"/>
      <c r="J12" s="422"/>
    </row>
    <row r="13" spans="1:10" s="358" customFormat="1">
      <c r="A13" s="867" t="s">
        <v>684</v>
      </c>
      <c r="B13" s="876"/>
      <c r="C13" s="877"/>
      <c r="D13" s="877"/>
      <c r="E13" s="878"/>
      <c r="F13" s="979"/>
      <c r="G13" s="870"/>
      <c r="H13" s="357"/>
    </row>
    <row r="14" spans="1:10" s="358" customFormat="1" ht="14.45" customHeight="1">
      <c r="A14" s="359"/>
      <c r="B14" s="879">
        <v>-5</v>
      </c>
      <c r="C14" s="1247" t="s">
        <v>169</v>
      </c>
      <c r="D14" s="1248"/>
      <c r="E14" s="1249"/>
      <c r="F14" s="980"/>
      <c r="G14" s="870"/>
      <c r="H14" s="357"/>
    </row>
    <row r="15" spans="1:10" s="358" customFormat="1">
      <c r="A15" s="359"/>
      <c r="B15" s="879" t="s">
        <v>643</v>
      </c>
      <c r="C15" s="1250" t="s">
        <v>704</v>
      </c>
      <c r="D15" s="1251"/>
      <c r="E15" s="1252"/>
      <c r="F15" s="977"/>
      <c r="G15" s="870"/>
      <c r="H15" s="357"/>
    </row>
    <row r="16" spans="1:10" s="358" customFormat="1" ht="14.45" customHeight="1">
      <c r="A16" s="359"/>
      <c r="B16" s="879">
        <v>-6</v>
      </c>
      <c r="C16" s="1250" t="s">
        <v>708</v>
      </c>
      <c r="D16" s="1251"/>
      <c r="E16" s="1252"/>
      <c r="F16" s="981"/>
      <c r="G16" s="870"/>
      <c r="H16" s="357"/>
    </row>
    <row r="17" spans="1:10" s="358" customFormat="1" ht="15.6" customHeight="1">
      <c r="A17" s="359"/>
      <c r="B17" s="879" t="s">
        <v>644</v>
      </c>
      <c r="C17" s="1244" t="s">
        <v>669</v>
      </c>
      <c r="D17" s="1245"/>
      <c r="E17" s="1246"/>
      <c r="F17" s="978"/>
      <c r="G17" s="870"/>
      <c r="H17" s="357"/>
    </row>
    <row r="18" spans="1:10" s="358" customFormat="1">
      <c r="A18" s="867" t="s">
        <v>685</v>
      </c>
      <c r="B18" s="880"/>
      <c r="C18" s="877"/>
      <c r="D18" s="877"/>
      <c r="E18" s="881"/>
      <c r="F18" s="979"/>
      <c r="G18" s="870"/>
      <c r="H18" s="357"/>
    </row>
    <row r="19" spans="1:10" ht="14.45" customHeight="1">
      <c r="B19" s="875">
        <v>-7</v>
      </c>
      <c r="C19" s="1247" t="s">
        <v>170</v>
      </c>
      <c r="D19" s="1248"/>
      <c r="E19" s="1249"/>
      <c r="F19" s="982"/>
      <c r="G19" s="935"/>
      <c r="H19" s="421"/>
      <c r="I19" s="422"/>
      <c r="J19" s="422"/>
    </row>
    <row r="20" spans="1:10" ht="14.45" customHeight="1">
      <c r="B20" s="875" t="s">
        <v>645</v>
      </c>
      <c r="C20" s="1250" t="s">
        <v>666</v>
      </c>
      <c r="D20" s="1251"/>
      <c r="E20" s="1252"/>
      <c r="F20" s="898"/>
      <c r="G20" s="1003" t="s">
        <v>713</v>
      </c>
      <c r="H20" s="421"/>
      <c r="I20" s="422"/>
      <c r="J20" s="422"/>
    </row>
    <row r="21" spans="1:10" ht="14.45" customHeight="1">
      <c r="B21" s="875" t="s">
        <v>646</v>
      </c>
      <c r="C21" s="1250" t="s">
        <v>667</v>
      </c>
      <c r="D21" s="1251"/>
      <c r="E21" s="1252"/>
      <c r="F21" s="898"/>
      <c r="G21" s="1001" t="s">
        <v>714</v>
      </c>
      <c r="H21" s="422"/>
    </row>
    <row r="22" spans="1:10" ht="14.45" customHeight="1">
      <c r="B22" s="875" t="s">
        <v>647</v>
      </c>
      <c r="C22" s="1244" t="s">
        <v>670</v>
      </c>
      <c r="D22" s="1245"/>
      <c r="E22" s="1246"/>
      <c r="F22" s="978"/>
      <c r="G22" s="1001" t="s">
        <v>28</v>
      </c>
      <c r="H22" s="422"/>
    </row>
    <row r="23" spans="1:10" s="358" customFormat="1">
      <c r="A23" s="867" t="s">
        <v>648</v>
      </c>
      <c r="B23" s="880"/>
      <c r="C23" s="882"/>
      <c r="D23" s="882"/>
      <c r="E23" s="881"/>
      <c r="F23" s="979"/>
      <c r="G23" s="1003" t="s">
        <v>148</v>
      </c>
    </row>
    <row r="24" spans="1:10" s="358" customFormat="1">
      <c r="A24" s="359"/>
      <c r="B24" s="879">
        <v>-8</v>
      </c>
      <c r="C24" s="1247" t="s">
        <v>710</v>
      </c>
      <c r="D24" s="1248"/>
      <c r="E24" s="1249"/>
      <c r="F24" s="983"/>
      <c r="G24" s="1000" t="s">
        <v>715</v>
      </c>
    </row>
    <row r="25" spans="1:10">
      <c r="B25" s="857">
        <v>-9</v>
      </c>
      <c r="C25" s="1268" t="s">
        <v>712</v>
      </c>
      <c r="D25" s="1269"/>
      <c r="E25" s="1252"/>
      <c r="F25" s="984"/>
      <c r="G25" s="1000"/>
      <c r="H25" s="353"/>
    </row>
    <row r="26" spans="1:10">
      <c r="B26" s="932"/>
      <c r="C26" s="1273"/>
      <c r="D26" s="1274"/>
      <c r="E26" s="1275"/>
      <c r="F26" s="1004"/>
      <c r="G26" s="1001" t="s">
        <v>28</v>
      </c>
      <c r="H26" s="353"/>
    </row>
    <row r="27" spans="1:10" s="358" customFormat="1">
      <c r="A27" s="867" t="s">
        <v>665</v>
      </c>
      <c r="B27" s="880"/>
      <c r="C27" s="882"/>
      <c r="D27" s="882"/>
      <c r="E27" s="881"/>
      <c r="F27" s="979"/>
      <c r="G27" s="1001" t="s">
        <v>709</v>
      </c>
    </row>
    <row r="28" spans="1:10" s="358" customFormat="1" ht="28.9" customHeight="1">
      <c r="A28" s="359"/>
      <c r="B28" s="879">
        <v>-10</v>
      </c>
      <c r="C28" s="1270" t="s">
        <v>678</v>
      </c>
      <c r="D28" s="1271"/>
      <c r="E28" s="1272"/>
      <c r="F28" s="993"/>
      <c r="G28" s="1001" t="s">
        <v>711</v>
      </c>
    </row>
    <row r="29" spans="1:10" s="358" customFormat="1" ht="28.9" customHeight="1">
      <c r="A29" s="359"/>
      <c r="B29" s="879">
        <v>-11</v>
      </c>
      <c r="C29" s="1262" t="s">
        <v>679</v>
      </c>
      <c r="D29" s="1263"/>
      <c r="E29" s="1264"/>
      <c r="F29" s="994"/>
      <c r="G29" s="870"/>
    </row>
    <row r="30" spans="1:10" s="358" customFormat="1" ht="28.9" customHeight="1">
      <c r="A30" s="359"/>
      <c r="B30" s="879">
        <v>-12</v>
      </c>
      <c r="C30" s="1262" t="s">
        <v>680</v>
      </c>
      <c r="D30" s="1263"/>
      <c r="E30" s="1264"/>
      <c r="F30" s="994"/>
      <c r="G30" s="870"/>
    </row>
    <row r="31" spans="1:10" s="358" customFormat="1" ht="28.9" customHeight="1">
      <c r="A31" s="359"/>
      <c r="B31" s="879">
        <v>-13</v>
      </c>
      <c r="C31" s="1262" t="s">
        <v>742</v>
      </c>
      <c r="D31" s="1263"/>
      <c r="E31" s="1264"/>
      <c r="F31" s="994"/>
      <c r="G31" s="936"/>
    </row>
    <row r="32" spans="1:10">
      <c r="B32" s="879">
        <v>-14</v>
      </c>
      <c r="C32" s="1262" t="s">
        <v>681</v>
      </c>
      <c r="D32" s="1263"/>
      <c r="E32" s="1264"/>
      <c r="F32" s="995"/>
      <c r="G32" s="870"/>
      <c r="H32" s="353"/>
    </row>
    <row r="33" spans="1:10" s="358" customFormat="1" ht="28.15" customHeight="1">
      <c r="A33" s="359"/>
      <c r="B33" s="879">
        <v>-15</v>
      </c>
      <c r="C33" s="1262" t="s">
        <v>741</v>
      </c>
      <c r="D33" s="1263"/>
      <c r="E33" s="1264"/>
      <c r="F33" s="994"/>
      <c r="G33" s="936"/>
    </row>
    <row r="34" spans="1:10" ht="43.15" customHeight="1">
      <c r="B34" s="879">
        <v>-16</v>
      </c>
      <c r="C34" s="1265" t="s">
        <v>743</v>
      </c>
      <c r="D34" s="1266"/>
      <c r="E34" s="1267"/>
      <c r="F34" s="995"/>
    </row>
    <row r="35" spans="1:10">
      <c r="A35" s="867" t="s">
        <v>171</v>
      </c>
      <c r="B35" s="885"/>
      <c r="C35" s="886"/>
      <c r="D35" s="886"/>
      <c r="E35" s="887"/>
      <c r="F35" s="985"/>
      <c r="G35" s="870"/>
    </row>
    <row r="36" spans="1:10">
      <c r="A36" s="358"/>
      <c r="B36" s="879">
        <v>-17</v>
      </c>
      <c r="C36" s="954" t="s">
        <v>649</v>
      </c>
      <c r="D36" s="952"/>
      <c r="E36" s="953"/>
      <c r="F36" s="986"/>
      <c r="G36" s="1001" t="b">
        <v>0</v>
      </c>
      <c r="H36" s="358"/>
      <c r="I36" s="357"/>
      <c r="J36" s="355"/>
    </row>
    <row r="37" spans="1:10">
      <c r="A37" s="358"/>
      <c r="B37" s="353"/>
      <c r="C37" s="945"/>
      <c r="D37" s="941"/>
      <c r="E37" s="883" t="s">
        <v>172</v>
      </c>
      <c r="F37" s="987"/>
      <c r="G37" s="1001" t="b">
        <v>0</v>
      </c>
      <c r="H37" s="357"/>
      <c r="I37" s="357"/>
    </row>
    <row r="38" spans="1:10">
      <c r="A38" s="358"/>
      <c r="B38" s="858"/>
      <c r="C38" s="945"/>
      <c r="D38" s="941"/>
      <c r="E38" s="358" t="s">
        <v>718</v>
      </c>
      <c r="F38" s="988"/>
      <c r="G38" s="1001" t="b">
        <v>0</v>
      </c>
      <c r="H38" s="357"/>
      <c r="I38" s="357"/>
    </row>
    <row r="39" spans="1:10">
      <c r="A39" s="358"/>
      <c r="B39" s="858"/>
      <c r="C39" s="943"/>
      <c r="D39" s="946"/>
      <c r="E39" s="859" t="s">
        <v>173</v>
      </c>
      <c r="F39" s="987"/>
      <c r="G39" s="1001" t="b">
        <v>0</v>
      </c>
      <c r="H39" s="357"/>
      <c r="I39" s="357"/>
    </row>
    <row r="40" spans="1:10">
      <c r="A40" s="358"/>
      <c r="B40" s="858"/>
      <c r="C40" s="943"/>
      <c r="D40" s="946"/>
      <c r="E40" s="859" t="s">
        <v>174</v>
      </c>
      <c r="F40" s="988"/>
      <c r="G40" s="1001" t="b">
        <v>0</v>
      </c>
      <c r="H40" s="357"/>
      <c r="I40" s="357"/>
    </row>
    <row r="41" spans="1:10">
      <c r="A41" s="358"/>
      <c r="B41" s="858"/>
      <c r="C41" s="943"/>
      <c r="D41" s="946"/>
      <c r="E41" s="859" t="s">
        <v>175</v>
      </c>
      <c r="F41" s="988"/>
      <c r="G41" s="1001" t="b">
        <v>0</v>
      </c>
      <c r="H41" s="357"/>
      <c r="I41" s="357"/>
    </row>
    <row r="42" spans="1:10">
      <c r="A42" s="358"/>
      <c r="B42" s="858"/>
      <c r="C42" s="943"/>
      <c r="D42" s="946"/>
      <c r="E42" s="859" t="s">
        <v>176</v>
      </c>
      <c r="F42" s="988"/>
      <c r="G42" s="1001" t="b">
        <v>0</v>
      </c>
      <c r="H42" s="357"/>
      <c r="I42" s="357"/>
    </row>
    <row r="43" spans="1:10">
      <c r="A43" s="358"/>
      <c r="B43" s="858"/>
      <c r="C43" s="943"/>
      <c r="D43" s="946"/>
      <c r="E43" s="859" t="s">
        <v>177</v>
      </c>
      <c r="F43" s="988"/>
      <c r="G43" s="1001" t="b">
        <v>0</v>
      </c>
      <c r="H43" s="357"/>
      <c r="I43" s="357"/>
    </row>
    <row r="44" spans="1:10">
      <c r="A44" s="358"/>
      <c r="B44" s="858"/>
      <c r="C44" s="943"/>
      <c r="D44" s="946"/>
      <c r="E44" s="859" t="s">
        <v>178</v>
      </c>
      <c r="F44" s="988"/>
      <c r="G44" s="1001" t="b">
        <v>0</v>
      </c>
      <c r="H44" s="357"/>
      <c r="I44" s="357"/>
    </row>
    <row r="45" spans="1:10" ht="43.15" customHeight="1">
      <c r="A45" s="358"/>
      <c r="B45" s="858"/>
      <c r="C45" s="943"/>
      <c r="D45" s="946"/>
      <c r="E45" s="1257" t="s">
        <v>716</v>
      </c>
      <c r="F45" s="1258"/>
      <c r="G45" s="1001"/>
      <c r="H45" s="357"/>
      <c r="I45" s="357"/>
    </row>
    <row r="46" spans="1:10">
      <c r="A46" s="358"/>
      <c r="B46" s="858"/>
      <c r="C46" s="943"/>
      <c r="D46" s="946"/>
      <c r="E46" s="1257" t="s">
        <v>179</v>
      </c>
      <c r="F46" s="1258"/>
      <c r="G46" s="1001" t="b">
        <v>0</v>
      </c>
      <c r="H46" s="357"/>
      <c r="I46" s="357"/>
    </row>
    <row r="47" spans="1:10">
      <c r="A47" s="358"/>
      <c r="B47" s="858"/>
      <c r="C47" s="943"/>
      <c r="D47" s="946"/>
      <c r="E47" s="859" t="s">
        <v>650</v>
      </c>
      <c r="F47" s="988"/>
      <c r="G47" s="1001" t="b">
        <v>0</v>
      </c>
      <c r="H47" s="357"/>
      <c r="I47" s="357"/>
    </row>
    <row r="48" spans="1:10">
      <c r="A48" s="358"/>
      <c r="B48" s="858"/>
      <c r="C48" s="944"/>
      <c r="D48" s="947"/>
      <c r="E48" s="859" t="s">
        <v>651</v>
      </c>
      <c r="F48" s="988"/>
      <c r="G48" s="1000" t="b">
        <v>0</v>
      </c>
      <c r="H48" s="1002">
        <f>G38+G39+G40+G41+G42+G43+G44+G46+G47+G48</f>
        <v>0</v>
      </c>
      <c r="I48" s="357"/>
    </row>
    <row r="49" spans="2:10">
      <c r="B49" s="884">
        <v>-18</v>
      </c>
      <c r="C49" s="1259" t="s">
        <v>729</v>
      </c>
      <c r="D49" s="1260"/>
      <c r="E49" s="1261"/>
      <c r="F49" s="989"/>
      <c r="H49" s="353"/>
    </row>
    <row r="50" spans="2:10">
      <c r="B50" s="884"/>
      <c r="C50" s="938"/>
      <c r="D50" s="937"/>
      <c r="E50" s="868" t="s">
        <v>671</v>
      </c>
      <c r="F50" s="990"/>
      <c r="G50" s="1000" t="b">
        <v>0</v>
      </c>
      <c r="H50" s="353"/>
    </row>
    <row r="51" spans="2:10" s="355" customFormat="1">
      <c r="B51" s="884"/>
      <c r="C51" s="938"/>
      <c r="D51" s="937"/>
      <c r="E51" s="868" t="s">
        <v>639</v>
      </c>
      <c r="F51" s="991"/>
      <c r="G51" s="1000" t="b">
        <v>0</v>
      </c>
      <c r="I51" s="353"/>
      <c r="J51" s="353"/>
    </row>
    <row r="52" spans="2:10" s="355" customFormat="1">
      <c r="B52" s="360"/>
      <c r="C52" s="938"/>
      <c r="D52" s="937"/>
      <c r="E52" s="868" t="s">
        <v>652</v>
      </c>
      <c r="F52" s="991"/>
      <c r="G52" s="1000" t="b">
        <v>0</v>
      </c>
      <c r="I52" s="353"/>
      <c r="J52" s="353"/>
    </row>
    <row r="53" spans="2:10" s="355" customFormat="1">
      <c r="B53" s="360"/>
      <c r="C53" s="938"/>
      <c r="D53" s="937"/>
      <c r="E53" s="868" t="s">
        <v>672</v>
      </c>
      <c r="F53" s="991"/>
      <c r="G53" s="1000" t="b">
        <v>0</v>
      </c>
      <c r="I53" s="353"/>
      <c r="J53" s="353"/>
    </row>
    <row r="54" spans="2:10" s="355" customFormat="1">
      <c r="B54" s="360"/>
      <c r="C54" s="938"/>
      <c r="D54" s="937"/>
      <c r="E54" s="868" t="s">
        <v>717</v>
      </c>
      <c r="F54" s="991"/>
      <c r="G54" s="1000" t="b">
        <v>0</v>
      </c>
      <c r="I54" s="353"/>
      <c r="J54" s="353"/>
    </row>
    <row r="55" spans="2:10" s="355" customFormat="1">
      <c r="B55" s="360"/>
      <c r="C55" s="938"/>
      <c r="D55" s="937"/>
      <c r="E55" s="868" t="s">
        <v>653</v>
      </c>
      <c r="F55" s="991"/>
      <c r="G55" s="1000" t="b">
        <v>0</v>
      </c>
      <c r="I55" s="353"/>
      <c r="J55" s="353"/>
    </row>
    <row r="56" spans="2:10" s="355" customFormat="1">
      <c r="B56" s="360"/>
      <c r="C56" s="938"/>
      <c r="D56" s="937"/>
      <c r="E56" s="868" t="s">
        <v>719</v>
      </c>
      <c r="F56" s="991"/>
      <c r="G56" s="1000" t="b">
        <v>0</v>
      </c>
      <c r="I56" s="353"/>
      <c r="J56" s="353"/>
    </row>
    <row r="57" spans="2:10" s="355" customFormat="1">
      <c r="B57" s="360"/>
      <c r="C57" s="938"/>
      <c r="D57" s="937"/>
      <c r="E57" s="869" t="s">
        <v>720</v>
      </c>
      <c r="F57" s="991"/>
      <c r="G57" s="1000" t="b">
        <v>0</v>
      </c>
      <c r="I57" s="353"/>
      <c r="J57" s="353"/>
    </row>
    <row r="58" spans="2:10" s="355" customFormat="1">
      <c r="B58" s="360"/>
      <c r="C58" s="939"/>
      <c r="D58" s="948"/>
      <c r="E58" s="869" t="s">
        <v>721</v>
      </c>
      <c r="F58" s="991"/>
      <c r="G58" s="1000" t="b">
        <v>0</v>
      </c>
      <c r="I58" s="353"/>
      <c r="J58" s="353"/>
    </row>
    <row r="59" spans="2:10" s="355" customFormat="1">
      <c r="B59" s="360"/>
      <c r="C59" s="939"/>
      <c r="D59" s="948"/>
      <c r="E59" s="869" t="s">
        <v>673</v>
      </c>
      <c r="F59" s="991"/>
      <c r="G59" s="1000" t="b">
        <v>0</v>
      </c>
      <c r="I59" s="353"/>
      <c r="J59" s="353"/>
    </row>
    <row r="60" spans="2:10" s="355" customFormat="1">
      <c r="B60" s="360"/>
      <c r="C60" s="939"/>
      <c r="D60" s="948"/>
      <c r="E60" s="869" t="s">
        <v>722</v>
      </c>
      <c r="F60" s="991"/>
      <c r="G60" s="1000" t="b">
        <v>0</v>
      </c>
      <c r="I60" s="353"/>
      <c r="J60" s="353"/>
    </row>
    <row r="61" spans="2:10" s="355" customFormat="1">
      <c r="B61" s="360"/>
      <c r="C61" s="939"/>
      <c r="D61" s="948"/>
      <c r="E61" s="869" t="s">
        <v>654</v>
      </c>
      <c r="F61" s="991"/>
      <c r="G61" s="1000" t="b">
        <v>0</v>
      </c>
      <c r="I61" s="353"/>
      <c r="J61" s="353"/>
    </row>
    <row r="62" spans="2:10" s="355" customFormat="1">
      <c r="B62" s="360"/>
      <c r="C62" s="939"/>
      <c r="D62" s="948"/>
      <c r="E62" s="869" t="s">
        <v>723</v>
      </c>
      <c r="F62" s="991"/>
      <c r="G62" s="1000" t="b">
        <v>0</v>
      </c>
      <c r="I62" s="353"/>
      <c r="J62" s="353"/>
    </row>
    <row r="63" spans="2:10" s="355" customFormat="1">
      <c r="B63" s="360"/>
      <c r="C63" s="939"/>
      <c r="D63" s="948"/>
      <c r="E63" s="869" t="s">
        <v>724</v>
      </c>
      <c r="F63" s="991"/>
      <c r="G63" s="1000" t="b">
        <v>0</v>
      </c>
      <c r="I63" s="353"/>
      <c r="J63" s="353"/>
    </row>
    <row r="64" spans="2:10" s="355" customFormat="1">
      <c r="B64" s="360"/>
      <c r="C64" s="939"/>
      <c r="D64" s="948"/>
      <c r="E64" s="869" t="s">
        <v>725</v>
      </c>
      <c r="F64" s="991"/>
      <c r="G64" s="1000" t="b">
        <v>0</v>
      </c>
      <c r="I64" s="353"/>
      <c r="J64" s="353"/>
    </row>
    <row r="65" spans="2:10" s="355" customFormat="1">
      <c r="B65" s="360"/>
      <c r="C65" s="939"/>
      <c r="D65" s="948"/>
      <c r="E65" s="869" t="s">
        <v>726</v>
      </c>
      <c r="F65" s="991"/>
      <c r="G65" s="1000" t="b">
        <v>0</v>
      </c>
      <c r="I65" s="353"/>
      <c r="J65" s="353"/>
    </row>
    <row r="66" spans="2:10" s="355" customFormat="1">
      <c r="B66" s="360"/>
      <c r="C66" s="939"/>
      <c r="D66" s="948"/>
      <c r="E66" s="869" t="s">
        <v>655</v>
      </c>
      <c r="F66" s="991"/>
      <c r="G66" s="1000" t="b">
        <v>0</v>
      </c>
      <c r="I66" s="353"/>
      <c r="J66" s="353"/>
    </row>
    <row r="67" spans="2:10" s="355" customFormat="1">
      <c r="B67" s="360"/>
      <c r="C67" s="940"/>
      <c r="D67" s="949"/>
      <c r="E67" s="869" t="s">
        <v>674</v>
      </c>
      <c r="F67" s="991"/>
      <c r="G67" s="1000" t="b">
        <v>0</v>
      </c>
      <c r="I67" s="353"/>
      <c r="J67" s="353"/>
    </row>
    <row r="68" spans="2:10" s="355" customFormat="1">
      <c r="B68" s="360"/>
      <c r="C68" s="939"/>
      <c r="D68" s="948"/>
      <c r="E68" s="869" t="s">
        <v>675</v>
      </c>
      <c r="F68" s="991"/>
      <c r="G68" s="1000" t="b">
        <v>0</v>
      </c>
      <c r="I68" s="353"/>
      <c r="J68" s="353"/>
    </row>
    <row r="69" spans="2:10" s="355" customFormat="1">
      <c r="B69" s="360"/>
      <c r="C69" s="939"/>
      <c r="D69" s="948"/>
      <c r="E69" s="869" t="s">
        <v>656</v>
      </c>
      <c r="F69" s="991"/>
      <c r="G69" s="1000" t="b">
        <v>0</v>
      </c>
      <c r="I69" s="353"/>
      <c r="J69" s="353"/>
    </row>
    <row r="70" spans="2:10" s="355" customFormat="1">
      <c r="B70" s="353"/>
      <c r="C70" s="945"/>
      <c r="D70" s="941"/>
      <c r="E70" s="870" t="s">
        <v>676</v>
      </c>
      <c r="F70" s="991"/>
      <c r="G70" s="1000" t="b">
        <v>0</v>
      </c>
      <c r="I70" s="353"/>
      <c r="J70" s="353"/>
    </row>
    <row r="71" spans="2:10" s="355" customFormat="1">
      <c r="B71" s="353"/>
      <c r="C71" s="945"/>
      <c r="D71" s="941"/>
      <c r="E71" s="870" t="s">
        <v>802</v>
      </c>
      <c r="F71" s="991"/>
      <c r="G71" s="1000" t="b">
        <v>0</v>
      </c>
      <c r="I71" s="353"/>
      <c r="J71" s="353"/>
    </row>
    <row r="72" spans="2:10" s="355" customFormat="1">
      <c r="B72" s="353"/>
      <c r="C72" s="945"/>
      <c r="D72" s="941"/>
      <c r="E72" s="870" t="s">
        <v>657</v>
      </c>
      <c r="F72" s="991"/>
      <c r="G72" s="1000" t="b">
        <v>0</v>
      </c>
      <c r="I72" s="353"/>
      <c r="J72" s="353"/>
    </row>
    <row r="73" spans="2:10" s="355" customFormat="1">
      <c r="B73" s="353"/>
      <c r="C73" s="945"/>
      <c r="D73" s="941"/>
      <c r="E73" s="870" t="s">
        <v>677</v>
      </c>
      <c r="F73" s="991"/>
      <c r="G73" s="1000" t="b">
        <v>0</v>
      </c>
      <c r="I73" s="353"/>
      <c r="J73" s="353"/>
    </row>
    <row r="74" spans="2:10" s="355" customFormat="1">
      <c r="B74" s="353"/>
      <c r="C74" s="945"/>
      <c r="D74" s="941"/>
      <c r="E74" s="870" t="s">
        <v>727</v>
      </c>
      <c r="F74" s="991"/>
      <c r="G74" s="1000" t="b">
        <v>0</v>
      </c>
      <c r="I74" s="353"/>
      <c r="J74" s="353"/>
    </row>
    <row r="75" spans="2:10" s="355" customFormat="1">
      <c r="B75" s="353"/>
      <c r="C75" s="950"/>
      <c r="D75" s="942"/>
      <c r="E75" s="871" t="s">
        <v>656</v>
      </c>
      <c r="F75" s="992"/>
      <c r="G75" s="1000" t="b">
        <v>0</v>
      </c>
      <c r="I75" s="353"/>
      <c r="J75" s="353"/>
    </row>
  </sheetData>
  <sheetProtection sheet="1" objects="1" scenarios="1"/>
  <mergeCells count="27">
    <mergeCell ref="C29:E29"/>
    <mergeCell ref="C14:E14"/>
    <mergeCell ref="C15:E15"/>
    <mergeCell ref="C16:E16"/>
    <mergeCell ref="C17:E17"/>
    <mergeCell ref="C19:E19"/>
    <mergeCell ref="C20:E20"/>
    <mergeCell ref="C21:E21"/>
    <mergeCell ref="C22:E22"/>
    <mergeCell ref="C24:E24"/>
    <mergeCell ref="C25:E25"/>
    <mergeCell ref="C28:E28"/>
    <mergeCell ref="C26:E26"/>
    <mergeCell ref="E46:F46"/>
    <mergeCell ref="C49:E49"/>
    <mergeCell ref="C30:E30"/>
    <mergeCell ref="C31:E31"/>
    <mergeCell ref="C32:E32"/>
    <mergeCell ref="C33:E33"/>
    <mergeCell ref="C34:E34"/>
    <mergeCell ref="E45:F45"/>
    <mergeCell ref="C12:E12"/>
    <mergeCell ref="C7:E7"/>
    <mergeCell ref="C8:E8"/>
    <mergeCell ref="C9:E9"/>
    <mergeCell ref="C10:E10"/>
    <mergeCell ref="C11:E11"/>
  </mergeCells>
  <conditionalFormatting sqref="F28:F34 F8:F9 F19:F21 F16 F14 F11 F24:F25">
    <cfRule type="cellIs" dxfId="130" priority="6" operator="equal">
      <formula>$F$7</formula>
    </cfRule>
  </conditionalFormatting>
  <conditionalFormatting sqref="C26:E26">
    <cfRule type="expression" dxfId="129" priority="5">
      <formula>AND($F$25="Other",$C$26="")</formula>
    </cfRule>
  </conditionalFormatting>
  <conditionalFormatting sqref="C38 C37">
    <cfRule type="expression" dxfId="128" priority="4">
      <formula>AND($G$36=FALSE,$G$37=FALSE)</formula>
    </cfRule>
  </conditionalFormatting>
  <conditionalFormatting sqref="D39:D48">
    <cfRule type="expression" dxfId="127" priority="3">
      <formula>AND($G$37=TRUE,$H$48=0)</formula>
    </cfRule>
  </conditionalFormatting>
  <conditionalFormatting sqref="C50:C56 C70:C75">
    <cfRule type="expression" dxfId="126" priority="2">
      <formula>$G50=FALSE</formula>
    </cfRule>
  </conditionalFormatting>
  <conditionalFormatting sqref="D57:D69">
    <cfRule type="expression" dxfId="125" priority="1">
      <formula>AND($G$56=TRUE,$G57=FALSE)</formula>
    </cfRule>
  </conditionalFormatting>
  <dataValidations count="6">
    <dataValidation type="list" allowBlank="1" showInputMessage="1" showErrorMessage="1" error="Do not submit this filing until it has been revised for compliance with this regulation." sqref="F28:F33">
      <formula1>$G$7</formula1>
    </dataValidation>
    <dataValidation type="list" allowBlank="1" showInputMessage="1" showErrorMessage="1" sqref="F19:F21 F9 F11 F14 F16">
      <formula1>$G$7:$G$8</formula1>
    </dataValidation>
    <dataValidation type="list" allowBlank="1" showInputMessage="1" showErrorMessage="1" error="Do not submit this filing until it has been revised for compliance with this regulation." sqref="F24">
      <formula1>$G$26:$G$28</formula1>
    </dataValidation>
    <dataValidation allowBlank="1" showInputMessage="1" showErrorMessage="1" error="Do not submit this filing until it has been revised for compliance with this regulation." sqref="F26"/>
    <dataValidation type="list" allowBlank="1" showErrorMessage="1" error="Do not submit this filing until it has been revised for compliance with this regulation." sqref="F34">
      <formula1>$G$7</formula1>
    </dataValidation>
    <dataValidation type="list" allowBlank="1" showInputMessage="1" showErrorMessage="1" error="Do not submit this filing until it has been revised for compliance with this regulation." sqref="F25">
      <formula1>$G$20:$G$24</formula1>
    </dataValidation>
  </dataValidations>
  <hyperlinks>
    <hyperlink ref="C34:E34" r:id="rId1" location="2251.002" display="Is the supporting information included with this filing compliant with Section 2251.002 (1) that prohibits the use in rate calculations of certain administrative expenses that exceed 110% of the industry median."/>
    <hyperlink ref="C28:E28" r:id="rId2" location="544.353" display="Is this filing compliant with Texas Insurance Code §544.353 that restricts the use of water damage claims in the underwriting of homeowners insurance?"/>
    <hyperlink ref="C29:E29" r:id="rId3" location="551.107" display="Is this filing compliant with Texas Insurance Code §551.107 regarding the consideration of claims for policy renewals and surcharges?"/>
    <hyperlink ref="C30:E30" r:id="rId4" location="2006.051" display="Is this filing compliant with Texas Insurance Code Chapter 2006 subchapter B regarding an optional premium discount?"/>
    <hyperlink ref="C31:E31" r:id="rId5" display="Is this filing compliant with Texas Administrative Code §21.1004  that restrict the use of certain types of claims in the rating of homeowners insurance?"/>
    <hyperlink ref="C32:E32" r:id="rId6" display="Is this filing compliant with 28 TAC §21.1006 regarding age or value of property?"/>
    <hyperlink ref="C33:E33" r:id="rId7" display="Is this filing compliant with Texas Administrative Code §21.1007 that restrict the use of certain types of claims in the underwriting of homeowners insurance?"/>
  </hyperlinks>
  <printOptions horizontalCentered="1"/>
  <pageMargins left="0.5" right="0.5" top="0.5" bottom="0.25" header="0.3" footer="0.3"/>
  <pageSetup scale="95" fitToHeight="2" orientation="portrait" r:id="rId8"/>
  <headerFooter>
    <oddFooter>&amp;LRevised 3/2013&amp;RPage &amp;P of &amp;N</oddFooter>
  </headerFooter>
  <rowBreaks count="1" manualBreakCount="1">
    <brk id="34" max="16383" man="1"/>
  </rowBreaks>
  <legacyDrawing r:id="rId9"/>
</worksheet>
</file>

<file path=xl/worksheets/sheet20.xml><?xml version="1.0" encoding="utf-8"?>
<worksheet xmlns="http://schemas.openxmlformats.org/spreadsheetml/2006/main" xmlns:r="http://schemas.openxmlformats.org/officeDocument/2006/relationships">
  <sheetPr codeName="Sheet15">
    <pageSetUpPr fitToPage="1"/>
  </sheetPr>
  <dimension ref="A1:J50"/>
  <sheetViews>
    <sheetView showGridLines="0" workbookViewId="0">
      <pane ySplit="5" topLeftCell="A6" activePane="bottomLeft" state="frozen"/>
      <selection pane="bottomLeft"/>
    </sheetView>
  </sheetViews>
  <sheetFormatPr defaultColWidth="8.85546875" defaultRowHeight="15"/>
  <cols>
    <col min="1" max="1" width="3.85546875" style="129" customWidth="1"/>
    <col min="2" max="7" width="13.7109375" style="129" customWidth="1"/>
    <col min="8" max="8" width="13.85546875" style="129" customWidth="1"/>
    <col min="9" max="9" width="8.85546875" style="129"/>
    <col min="10" max="11" width="8.85546875" style="129" customWidth="1"/>
    <col min="12" max="16384" width="8.85546875" style="129"/>
  </cols>
  <sheetData>
    <row r="1" spans="1:10" ht="17.25">
      <c r="B1" s="9" t="str">
        <f>'5A-Loss Trend'!C1</f>
        <v>Texas Department of Insurance</v>
      </c>
      <c r="G1" s="190" t="str">
        <f xml:space="preserve"> "Home - "&amp;MID(B4,9,2)</f>
        <v xml:space="preserve">Home - 9 </v>
      </c>
    </row>
    <row r="2" spans="1:10" ht="17.25">
      <c r="B2" s="9" t="str">
        <f>'5A-Loss Trend'!C2</f>
        <v>Property and Casualty Rate Filing Exhibits</v>
      </c>
    </row>
    <row r="3" spans="1:10">
      <c r="J3"/>
    </row>
    <row r="4" spans="1:10" ht="15.75">
      <c r="B4" s="165" t="s">
        <v>524</v>
      </c>
      <c r="C4" s="189"/>
      <c r="D4" s="166"/>
      <c r="F4" s="1123" t="s">
        <v>140</v>
      </c>
      <c r="G4" s="1119" t="str">
        <f>'8-Modeled Cat'!I4</f>
        <v/>
      </c>
    </row>
    <row r="5" spans="1:10">
      <c r="F5" s="1123" t="s">
        <v>787</v>
      </c>
      <c r="G5" s="1119" t="str">
        <f>'8-Modeled Cat'!I5</f>
        <v/>
      </c>
    </row>
    <row r="7" spans="1:10">
      <c r="B7" s="137">
        <v>-1</v>
      </c>
      <c r="C7" s="138">
        <f>B7-1</f>
        <v>-2</v>
      </c>
      <c r="D7" s="138">
        <f>C7-1</f>
        <v>-3</v>
      </c>
      <c r="E7" s="1039">
        <f>D7-1</f>
        <v>-4</v>
      </c>
      <c r="F7" s="1084">
        <f t="shared" ref="F7:G7" si="0">E7-1</f>
        <v>-5</v>
      </c>
      <c r="G7" s="1084">
        <f t="shared" si="0"/>
        <v>-6</v>
      </c>
    </row>
    <row r="8" spans="1:10" ht="43.15" customHeight="1">
      <c r="B8" s="145" t="s">
        <v>69</v>
      </c>
      <c r="C8" s="1091" t="str">
        <f>IF('General Information'!B15='General Information'!G17,"Countrywide Incurred Loss","Countrywide Incurred Loss
&amp; DCCE")</f>
        <v>Countrywide Incurred Loss
&amp; DCCE</v>
      </c>
      <c r="D8" s="1091" t="str">
        <f>IF('General Information'!B15='General Information'!G17,"Countrywide Incurred DCCE","Not Applicable
Disregard")</f>
        <v>Not Applicable
Disregard</v>
      </c>
      <c r="E8" s="1091" t="str">
        <f>IF('General Information'!B15='General Information'!G17,"Countrywide DCCE Ratio","Not Applicable
Disregard")</f>
        <v>Not Applicable
Disregard</v>
      </c>
      <c r="F8" s="1091" t="s">
        <v>136</v>
      </c>
      <c r="G8" s="1091" t="s">
        <v>481</v>
      </c>
    </row>
    <row r="9" spans="1:10">
      <c r="B9" s="1035" t="str">
        <f>'D-Historical Experience'!B14</f>
        <v>20__</v>
      </c>
      <c r="C9" s="1093">
        <f>'E-Expense'!E35</f>
        <v>0</v>
      </c>
      <c r="D9" s="339">
        <f>'E-Expense'!E36</f>
        <v>0</v>
      </c>
      <c r="E9" s="155">
        <f>IFERROR(D9/C9,0)</f>
        <v>0</v>
      </c>
      <c r="F9" s="339">
        <f>'E-Expense'!E37</f>
        <v>0</v>
      </c>
      <c r="G9" s="155">
        <f>IFERROR(F9/C9,0)</f>
        <v>0</v>
      </c>
    </row>
    <row r="10" spans="1:10">
      <c r="B10" s="1036" t="str">
        <f>'D-Historical Experience'!B15</f>
        <v>20__</v>
      </c>
      <c r="C10" s="1094">
        <f>'E-Expense'!F35</f>
        <v>0</v>
      </c>
      <c r="D10" s="339">
        <f>'E-Expense'!F36</f>
        <v>0</v>
      </c>
      <c r="E10" s="155">
        <f>IFERROR(D10/C10,0)</f>
        <v>0</v>
      </c>
      <c r="F10" s="339">
        <f>'E-Expense'!F37</f>
        <v>0</v>
      </c>
      <c r="G10" s="155">
        <f>IFERROR(F10/C10,0)</f>
        <v>0</v>
      </c>
    </row>
    <row r="11" spans="1:10">
      <c r="B11" s="1037" t="str">
        <f>'D-Historical Experience'!B16</f>
        <v>20__</v>
      </c>
      <c r="C11" s="1095">
        <f>'E-Expense'!G35</f>
        <v>0</v>
      </c>
      <c r="D11" s="340">
        <f>'E-Expense'!G36</f>
        <v>0</v>
      </c>
      <c r="E11" s="155">
        <f>IFERROR(D11/C11,0)</f>
        <v>0</v>
      </c>
      <c r="F11" s="340">
        <f>'E-Expense'!G37</f>
        <v>0</v>
      </c>
      <c r="G11" s="155">
        <f>IFERROR(F11/C11,0)</f>
        <v>0</v>
      </c>
    </row>
    <row r="12" spans="1:10">
      <c r="B12" s="463" t="s">
        <v>8</v>
      </c>
      <c r="C12" s="1096">
        <f>C9+C10+C11</f>
        <v>0</v>
      </c>
      <c r="D12" s="465">
        <f>D9+D10+D11</f>
        <v>0</v>
      </c>
      <c r="E12" s="187">
        <f>IFERROR(AVERAGE(E9:E11),0)</f>
        <v>0</v>
      </c>
      <c r="F12" s="465">
        <f>F9+F10+F11</f>
        <v>0</v>
      </c>
      <c r="G12" s="187">
        <f>IFERROR(AVERAGE(G9:G11),0)</f>
        <v>0</v>
      </c>
    </row>
    <row r="13" spans="1:10">
      <c r="A13" s="147"/>
    </row>
    <row r="14" spans="1:10">
      <c r="B14" s="137">
        <f>G7-1</f>
        <v>-7</v>
      </c>
      <c r="C14" s="138">
        <f>B14-1</f>
        <v>-8</v>
      </c>
      <c r="D14" s="1039">
        <f t="shared" ref="D14" si="1">C14-1</f>
        <v>-9</v>
      </c>
      <c r="E14" s="1039">
        <f>D14-1</f>
        <v>-10</v>
      </c>
    </row>
    <row r="15" spans="1:10" ht="43.15" customHeight="1">
      <c r="B15" s="430" t="s">
        <v>69</v>
      </c>
      <c r="C15" s="466" t="str">
        <f>IF('General Information'!B15='General Information'!G17,"Statewide Incurred Loss","Statewide Incurred Loss
&amp; DCCE")</f>
        <v>Statewide Incurred Loss
&amp; DCCE</v>
      </c>
      <c r="D15" s="466" t="str">
        <f>IF('General Information'!B15='General Information'!G17,"Statewide Incurred DCCE","Not Applicable
Disregard")</f>
        <v>Not Applicable
Disregard</v>
      </c>
      <c r="E15" s="896" t="str">
        <f>IF('General Information'!B15='General Information'!G17,"Statewide DCCE Ratio","Not Applicable
Disregard")</f>
        <v>Not Applicable
Disregard</v>
      </c>
    </row>
    <row r="16" spans="1:10">
      <c r="B16" s="1035" t="str">
        <f>B9</f>
        <v>20__</v>
      </c>
      <c r="C16" s="1097">
        <f>'E-Expense'!E15</f>
        <v>0</v>
      </c>
      <c r="D16" s="1098">
        <f>'E-Expense'!E16</f>
        <v>0</v>
      </c>
      <c r="E16" s="960">
        <f>IFERROR(D16/C16,0)</f>
        <v>0</v>
      </c>
    </row>
    <row r="17" spans="1:9">
      <c r="B17" s="1036" t="str">
        <f>B10</f>
        <v>20__</v>
      </c>
      <c r="C17" s="1093">
        <f>'E-Expense'!F15</f>
        <v>0</v>
      </c>
      <c r="D17" s="1099">
        <f>'E-Expense'!F16</f>
        <v>0</v>
      </c>
      <c r="E17" s="155">
        <f>IFERROR(D17/C17,0)</f>
        <v>0</v>
      </c>
    </row>
    <row r="18" spans="1:9">
      <c r="B18" s="1037" t="str">
        <f>B11</f>
        <v>20__</v>
      </c>
      <c r="C18" s="1095">
        <f>'E-Expense'!G15</f>
        <v>0</v>
      </c>
      <c r="D18" s="1100">
        <f>'E-Expense'!G16</f>
        <v>0</v>
      </c>
      <c r="E18" s="155">
        <f>IFERROR(D18/C18,0)</f>
        <v>0</v>
      </c>
    </row>
    <row r="19" spans="1:9">
      <c r="B19" s="435" t="s">
        <v>49</v>
      </c>
      <c r="C19" s="1096">
        <f>C16+C17+C18</f>
        <v>0</v>
      </c>
      <c r="D19" s="465">
        <f>D16+D17+D18</f>
        <v>0</v>
      </c>
      <c r="E19" s="187">
        <f>IFERROR(AVERAGE(E16:E18),0)</f>
        <v>0</v>
      </c>
    </row>
    <row r="20" spans="1:9">
      <c r="B20"/>
    </row>
    <row r="21" spans="1:9">
      <c r="B21"/>
    </row>
    <row r="22" spans="1:9">
      <c r="B22" s="1291" t="s">
        <v>17</v>
      </c>
      <c r="C22" s="1292"/>
    </row>
    <row r="23" spans="1:9">
      <c r="A23" s="150">
        <f>E14-1</f>
        <v>-11</v>
      </c>
      <c r="B23" s="464" t="str">
        <f>IF('General Information'!B15='General Information'!G17,"DCCE Ratio","Not Applicable")</f>
        <v>Not Applicable</v>
      </c>
      <c r="C23" s="756"/>
    </row>
    <row r="24" spans="1:9">
      <c r="A24" s="150">
        <f>A23-1</f>
        <v>-12</v>
      </c>
      <c r="B24" s="38" t="s">
        <v>137</v>
      </c>
      <c r="C24" s="757"/>
    </row>
    <row r="25" spans="1:9">
      <c r="A25" s="147"/>
      <c r="B25" s="2"/>
    </row>
    <row r="26" spans="1:9" ht="14.45" customHeight="1">
      <c r="A26" s="147">
        <f>A24-1</f>
        <v>-13</v>
      </c>
      <c r="B26" s="1304" t="str">
        <f>IF('General Information'!B15='General Information'!G17,"Provide reasoning for the selected DCCE and A&amp;O Ratios.","Provide reasoning for the selected A&amp;O Ratio.")</f>
        <v>Provide reasoning for the selected A&amp;O Ratio.</v>
      </c>
      <c r="C26" s="1305"/>
      <c r="D26" s="1305"/>
      <c r="E26" s="1305"/>
      <c r="F26" s="1305"/>
      <c r="G26" s="1306"/>
      <c r="H26" s="477"/>
    </row>
    <row r="27" spans="1:9">
      <c r="B27" s="1528" t="s">
        <v>614</v>
      </c>
      <c r="C27" s="1529"/>
      <c r="D27" s="1529"/>
      <c r="E27" s="1529"/>
      <c r="F27" s="1529"/>
      <c r="G27" s="1530"/>
      <c r="H27" s="480"/>
      <c r="I27" s="489"/>
    </row>
    <row r="28" spans="1:9">
      <c r="B28" s="1362"/>
      <c r="C28" s="1522"/>
      <c r="D28" s="1522"/>
      <c r="E28" s="1522"/>
      <c r="F28" s="1522"/>
      <c r="G28" s="1523"/>
      <c r="H28" s="343"/>
      <c r="I28" s="489"/>
    </row>
    <row r="29" spans="1:9">
      <c r="B29" s="1524"/>
      <c r="C29" s="1525"/>
      <c r="D29" s="1525"/>
      <c r="E29" s="1525"/>
      <c r="F29" s="1525"/>
      <c r="G29" s="1526"/>
      <c r="H29" s="343"/>
      <c r="I29" s="489"/>
    </row>
    <row r="30" spans="1:9">
      <c r="B30" s="1524"/>
      <c r="C30" s="1525"/>
      <c r="D30" s="1525"/>
      <c r="E30" s="1525"/>
      <c r="F30" s="1525"/>
      <c r="G30" s="1526"/>
      <c r="H30" s="343"/>
      <c r="I30" s="489"/>
    </row>
    <row r="31" spans="1:9">
      <c r="B31" s="1524"/>
      <c r="C31" s="1525"/>
      <c r="D31" s="1525"/>
      <c r="E31" s="1525"/>
      <c r="F31" s="1525"/>
      <c r="G31" s="1526"/>
      <c r="H31" s="343"/>
      <c r="I31" s="489"/>
    </row>
    <row r="32" spans="1:9">
      <c r="B32" s="1524"/>
      <c r="C32" s="1525"/>
      <c r="D32" s="1525"/>
      <c r="E32" s="1525"/>
      <c r="F32" s="1525"/>
      <c r="G32" s="1526"/>
      <c r="H32" s="343"/>
      <c r="I32" s="489"/>
    </row>
    <row r="33" spans="1:9">
      <c r="B33" s="1524"/>
      <c r="C33" s="1525"/>
      <c r="D33" s="1525"/>
      <c r="E33" s="1525"/>
      <c r="F33" s="1525"/>
      <c r="G33" s="1526"/>
      <c r="H33" s="343"/>
      <c r="I33" s="489"/>
    </row>
    <row r="34" spans="1:9">
      <c r="B34" s="1524"/>
      <c r="C34" s="1525"/>
      <c r="D34" s="1525"/>
      <c r="E34" s="1525"/>
      <c r="F34" s="1525"/>
      <c r="G34" s="1526"/>
      <c r="H34" s="343"/>
      <c r="I34" s="489"/>
    </row>
    <row r="35" spans="1:9">
      <c r="B35" s="1289"/>
      <c r="C35" s="1290"/>
      <c r="D35" s="1290"/>
      <c r="E35" s="1290"/>
      <c r="F35" s="1290"/>
      <c r="G35" s="1527"/>
      <c r="H35" s="343"/>
      <c r="I35" s="489"/>
    </row>
    <row r="36" spans="1:9">
      <c r="H36" s="489"/>
      <c r="I36" s="489"/>
    </row>
    <row r="38" spans="1:9" ht="12" customHeight="1">
      <c r="A38" s="447" t="s">
        <v>158</v>
      </c>
      <c r="B38" s="204"/>
    </row>
    <row r="39" spans="1:9" ht="12" customHeight="1">
      <c r="A39" s="448">
        <v>-1</v>
      </c>
      <c r="B39" s="204" t="s">
        <v>690</v>
      </c>
    </row>
    <row r="40" spans="1:9" ht="12" customHeight="1">
      <c r="A40" s="448">
        <f>A39-1</f>
        <v>-2</v>
      </c>
      <c r="B40" s="204" t="s">
        <v>162</v>
      </c>
    </row>
    <row r="41" spans="1:9" ht="12" customHeight="1">
      <c r="A41" s="448">
        <f>A40-1</f>
        <v>-3</v>
      </c>
      <c r="B41" s="204" t="str">
        <f>IF('General Information'!B15='General Information'!G17,"From Exhibit E-Expense","N/A - Disregard")</f>
        <v>N/A - Disregard</v>
      </c>
    </row>
    <row r="42" spans="1:9" ht="12" customHeight="1">
      <c r="A42" s="448">
        <f t="shared" ref="A42:A50" si="2">A41-1</f>
        <v>-4</v>
      </c>
      <c r="B42" s="204" t="str">
        <f>IF('General Information'!B15='General Information'!G17,"= (3) / (2)","N/A - Disregard")</f>
        <v>N/A - Disregard</v>
      </c>
    </row>
    <row r="43" spans="1:9" ht="12" customHeight="1">
      <c r="A43" s="448">
        <f t="shared" si="2"/>
        <v>-5</v>
      </c>
      <c r="B43" s="204" t="s">
        <v>162</v>
      </c>
    </row>
    <row r="44" spans="1:9" ht="12" customHeight="1">
      <c r="A44" s="448">
        <f t="shared" si="2"/>
        <v>-6</v>
      </c>
      <c r="B44" s="449" t="s">
        <v>821</v>
      </c>
    </row>
    <row r="45" spans="1:9" ht="12" customHeight="1">
      <c r="A45" s="448">
        <f t="shared" si="2"/>
        <v>-7</v>
      </c>
      <c r="B45" s="449" t="s">
        <v>757</v>
      </c>
    </row>
    <row r="46" spans="1:9" ht="12" customHeight="1">
      <c r="A46" s="448">
        <f t="shared" si="2"/>
        <v>-8</v>
      </c>
      <c r="B46" s="204" t="s">
        <v>162</v>
      </c>
    </row>
    <row r="47" spans="1:9" ht="12" customHeight="1">
      <c r="A47" s="448">
        <f t="shared" si="2"/>
        <v>-9</v>
      </c>
      <c r="B47" s="449" t="str">
        <f>B41</f>
        <v>N/A - Disregard</v>
      </c>
    </row>
    <row r="48" spans="1:9" ht="12" customHeight="1">
      <c r="A48" s="448">
        <f t="shared" si="2"/>
        <v>-10</v>
      </c>
      <c r="B48" s="204" t="str">
        <f>IF('General Information'!B15='General Information'!G17,"= (9) / (8)","N/A - Disregard")</f>
        <v>N/A - Disregard</v>
      </c>
    </row>
    <row r="49" spans="1:2" ht="12" customHeight="1">
      <c r="A49" s="448">
        <f t="shared" si="2"/>
        <v>-11</v>
      </c>
      <c r="B49" s="204" t="str">
        <f>IF('General Information'!B15='General Information'!G17,"Company-provided","N/A - Disregard")</f>
        <v>N/A - Disregard</v>
      </c>
    </row>
    <row r="50" spans="1:2" ht="12" customHeight="1">
      <c r="A50" s="448">
        <f t="shared" si="2"/>
        <v>-12</v>
      </c>
      <c r="B50" s="205" t="s">
        <v>145</v>
      </c>
    </row>
  </sheetData>
  <sheetProtection sheet="1" objects="1" scenarios="1"/>
  <mergeCells count="4">
    <mergeCell ref="B22:C22"/>
    <mergeCell ref="B28:G35"/>
    <mergeCell ref="B26:G26"/>
    <mergeCell ref="B27:G27"/>
  </mergeCells>
  <conditionalFormatting sqref="C23 D16:E19 D9:E12">
    <cfRule type="expression" dxfId="55" priority="1">
      <formula>$B$23="Not Applicable"</formula>
    </cfRule>
  </conditionalFormatting>
  <conditionalFormatting sqref="B28:G35">
    <cfRule type="expression" dxfId="54" priority="2">
      <formula>$B$28=""</formula>
    </cfRule>
  </conditionalFormatting>
  <conditionalFormatting sqref="C23:C24">
    <cfRule type="expression" dxfId="53" priority="4">
      <formula>$C23=""</formula>
    </cfRule>
  </conditionalFormatting>
  <printOptions horizontalCentered="1"/>
  <pageMargins left="0.5" right="0.5" top="0.5" bottom="0.5" header="0.3" footer="0.3"/>
  <pageSetup scale="95" orientation="portrait" r:id="rId1"/>
  <headerFooter>
    <oddFooter>&amp;LRevised 3/2013&amp;RPage &amp;P of &amp;N</oddFooter>
  </headerFooter>
  <ignoredErrors>
    <ignoredError sqref="B16:B18" unlockedFormula="1"/>
  </ignoredErrors>
</worksheet>
</file>

<file path=xl/worksheets/sheet21.xml><?xml version="1.0" encoding="utf-8"?>
<worksheet xmlns="http://schemas.openxmlformats.org/spreadsheetml/2006/main" xmlns:r="http://schemas.openxmlformats.org/officeDocument/2006/relationships">
  <sheetPr codeName="Sheet16"/>
  <dimension ref="A1:K123"/>
  <sheetViews>
    <sheetView showGridLines="0" workbookViewId="0">
      <pane ySplit="8" topLeftCell="A9" activePane="bottomLeft" state="frozen"/>
      <selection pane="bottomLeft"/>
    </sheetView>
  </sheetViews>
  <sheetFormatPr defaultColWidth="8.85546875" defaultRowHeight="15"/>
  <cols>
    <col min="1" max="1" width="4" style="1" customWidth="1"/>
    <col min="2" max="2" width="2.28515625" style="46" customWidth="1"/>
    <col min="3" max="3" width="33.28515625" style="46" customWidth="1"/>
    <col min="4" max="7" width="13.7109375" style="46" customWidth="1"/>
    <col min="8" max="8" width="12.7109375" style="225" customWidth="1"/>
    <col min="9" max="10" width="8.85546875" style="46"/>
    <col min="11" max="11" width="8.85546875" style="46" hidden="1" customWidth="1"/>
    <col min="12" max="16384" width="8.85546875" style="46"/>
  </cols>
  <sheetData>
    <row r="1" spans="1:8" ht="17.25">
      <c r="A1" s="206" t="str">
        <f>'9-Loss Adjustment Expenses'!B1</f>
        <v>Texas Department of Insurance</v>
      </c>
      <c r="H1" s="190" t="str">
        <f xml:space="preserve"> "Home - "&amp;MID(A4,9,2)</f>
        <v>Home - 10</v>
      </c>
    </row>
    <row r="2" spans="1:8" ht="17.25">
      <c r="A2" s="206" t="str">
        <f>'9-Loss Adjustment Expenses'!B2</f>
        <v>Property and Casualty Rate Filing Exhibits</v>
      </c>
    </row>
    <row r="3" spans="1:8">
      <c r="A3" s="226"/>
    </row>
    <row r="4" spans="1:8" ht="15.75">
      <c r="A4" s="188" t="s">
        <v>523</v>
      </c>
      <c r="B4" s="207"/>
      <c r="C4" s="208"/>
      <c r="D4" s="209"/>
      <c r="G4" s="1120" t="s">
        <v>140</v>
      </c>
      <c r="H4" s="1121" t="str">
        <f>'9-Loss Adjustment Expenses'!G4</f>
        <v/>
      </c>
    </row>
    <row r="5" spans="1:8">
      <c r="G5" s="1120" t="s">
        <v>787</v>
      </c>
      <c r="H5" s="1121" t="str">
        <f>'9-Loss Adjustment Expenses'!G5</f>
        <v/>
      </c>
    </row>
    <row r="7" spans="1:8">
      <c r="A7" s="222" t="s">
        <v>76</v>
      </c>
      <c r="B7" s="207"/>
      <c r="C7" s="223"/>
      <c r="D7" s="1505" t="s">
        <v>69</v>
      </c>
      <c r="E7" s="1505"/>
      <c r="F7" s="1505"/>
      <c r="G7" s="1505"/>
      <c r="H7" s="224" t="s">
        <v>17</v>
      </c>
    </row>
    <row r="8" spans="1:8">
      <c r="A8" s="227"/>
      <c r="B8" s="228"/>
      <c r="C8" s="229"/>
      <c r="D8" s="1034" t="str">
        <f>'E-Expense'!E9</f>
        <v>20__</v>
      </c>
      <c r="E8" s="1034" t="str">
        <f>'E-Expense'!F9</f>
        <v>20__</v>
      </c>
      <c r="F8" s="1034" t="str">
        <f>'E-Expense'!G9</f>
        <v>20__</v>
      </c>
      <c r="G8" s="197" t="s">
        <v>8</v>
      </c>
      <c r="H8" s="230"/>
    </row>
    <row r="9" spans="1:8">
      <c r="A9" s="557">
        <v>-1</v>
      </c>
      <c r="B9" s="558" t="s">
        <v>70</v>
      </c>
      <c r="C9" s="559"/>
      <c r="D9" s="560"/>
      <c r="E9" s="560"/>
      <c r="F9" s="560"/>
      <c r="G9" s="560"/>
      <c r="H9" s="561"/>
    </row>
    <row r="10" spans="1:8">
      <c r="A10" s="232"/>
      <c r="B10" s="233" t="s">
        <v>117</v>
      </c>
      <c r="C10" s="234" t="s">
        <v>71</v>
      </c>
      <c r="D10" s="326">
        <f>'E-Expense'!E24</f>
        <v>0</v>
      </c>
      <c r="E10" s="327">
        <f>'E-Expense'!F24</f>
        <v>0</v>
      </c>
      <c r="F10" s="328">
        <f>'E-Expense'!G24</f>
        <v>0</v>
      </c>
      <c r="G10" s="235">
        <f>SUM(D10:F10)</f>
        <v>0</v>
      </c>
      <c r="H10" s="236"/>
    </row>
    <row r="11" spans="1:8">
      <c r="A11" s="237"/>
      <c r="B11" s="238" t="s">
        <v>118</v>
      </c>
      <c r="C11" s="239" t="s">
        <v>72</v>
      </c>
      <c r="D11" s="240">
        <f>'E-Expense'!E32</f>
        <v>0</v>
      </c>
      <c r="E11" s="241">
        <f>'E-Expense'!F32</f>
        <v>0</v>
      </c>
      <c r="F11" s="264">
        <f>'E-Expense'!G32</f>
        <v>0</v>
      </c>
      <c r="G11" s="242">
        <f>SUM(D11:F11)</f>
        <v>0</v>
      </c>
      <c r="H11" s="243"/>
    </row>
    <row r="12" spans="1:8">
      <c r="A12" s="237"/>
      <c r="B12" s="244" t="s">
        <v>119</v>
      </c>
      <c r="C12" s="245" t="s">
        <v>73</v>
      </c>
      <c r="D12" s="246">
        <f>D10-D11</f>
        <v>0</v>
      </c>
      <c r="E12" s="247">
        <f t="shared" ref="E12:F12" si="0">E10-E11</f>
        <v>0</v>
      </c>
      <c r="F12" s="310">
        <f t="shared" si="0"/>
        <v>0</v>
      </c>
      <c r="G12" s="248">
        <f>SUM(D12:F12)</f>
        <v>0</v>
      </c>
      <c r="H12" s="243"/>
    </row>
    <row r="13" spans="1:8">
      <c r="A13" s="237"/>
      <c r="B13" s="238" t="s">
        <v>120</v>
      </c>
      <c r="C13" s="239" t="s">
        <v>75</v>
      </c>
      <c r="D13" s="240">
        <f>'E-Expense'!E19</f>
        <v>0</v>
      </c>
      <c r="E13" s="241">
        <f>'E-Expense'!F19</f>
        <v>0</v>
      </c>
      <c r="F13" s="264">
        <f>'E-Expense'!G19</f>
        <v>0</v>
      </c>
      <c r="G13" s="242">
        <f>SUM(D13:F13)</f>
        <v>0</v>
      </c>
      <c r="H13" s="243"/>
    </row>
    <row r="14" spans="1:8">
      <c r="A14" s="237"/>
      <c r="B14" s="249" t="s">
        <v>121</v>
      </c>
      <c r="C14" s="431" t="s">
        <v>480</v>
      </c>
      <c r="D14" s="250">
        <f>IFERROR(D12/D13,0)</f>
        <v>0</v>
      </c>
      <c r="E14" s="251">
        <f t="shared" ref="E14:G14" si="1">IFERROR(E12/E13,0)</f>
        <v>0</v>
      </c>
      <c r="F14" s="329">
        <f t="shared" si="1"/>
        <v>0</v>
      </c>
      <c r="G14" s="250">
        <f t="shared" si="1"/>
        <v>0</v>
      </c>
      <c r="H14" s="243"/>
    </row>
    <row r="15" spans="1:8">
      <c r="A15" s="237"/>
      <c r="B15" s="1214" t="s">
        <v>888</v>
      </c>
      <c r="C15" s="997" t="s">
        <v>463</v>
      </c>
      <c r="D15" s="968">
        <v>5.6000000000000001E-2</v>
      </c>
      <c r="E15" s="969">
        <v>5.1999999999999998E-2</v>
      </c>
      <c r="F15" s="970">
        <v>4.4999999999999998E-2</v>
      </c>
      <c r="G15" s="567">
        <f>AVERAGE(D15:F15)</f>
        <v>5.0999999999999997E-2</v>
      </c>
      <c r="H15" s="461"/>
    </row>
    <row r="16" spans="1:8">
      <c r="A16" s="237"/>
      <c r="B16" s="1215" t="s">
        <v>889</v>
      </c>
      <c r="C16" s="998" t="s">
        <v>479</v>
      </c>
      <c r="D16" s="460">
        <f>IFERROR(MIN(D14,D15)+'E-Expense'!E25/'10-Fixed &amp; Variable Expenses'!D13,0)</f>
        <v>0</v>
      </c>
      <c r="E16" s="460">
        <f>IFERROR(MIN(E14,E15)+'E-Expense'!F25/'10-Fixed &amp; Variable Expenses'!E13,0)</f>
        <v>0</v>
      </c>
      <c r="F16" s="923">
        <f>IFERROR(MIN(F14,F15)+'E-Expense'!G25/'10-Fixed &amp; Variable Expenses'!F13,0)</f>
        <v>0</v>
      </c>
      <c r="G16" s="460">
        <f>IFERROR(MIN(G14,G15)+'E-Expense'!H25/'10-Fixed &amp; Variable Expenses'!G13,0)</f>
        <v>0</v>
      </c>
      <c r="H16" s="758"/>
    </row>
    <row r="17" spans="1:8">
      <c r="A17" s="237"/>
      <c r="B17" s="252" t="s">
        <v>122</v>
      </c>
      <c r="C17" s="253" t="s">
        <v>74</v>
      </c>
      <c r="D17" s="254"/>
      <c r="E17" s="255"/>
      <c r="F17" s="255"/>
      <c r="G17" s="256"/>
      <c r="H17" s="759"/>
    </row>
    <row r="18" spans="1:8">
      <c r="A18" s="237"/>
      <c r="B18" s="257" t="s">
        <v>123</v>
      </c>
      <c r="C18" s="258" t="s">
        <v>878</v>
      </c>
      <c r="D18" s="254"/>
      <c r="E18" s="255"/>
      <c r="F18" s="255"/>
      <c r="G18" s="256"/>
      <c r="H18" s="482">
        <f>H16*H17</f>
        <v>0</v>
      </c>
    </row>
    <row r="19" spans="1:8">
      <c r="A19" s="237"/>
      <c r="B19" s="259" t="s">
        <v>124</v>
      </c>
      <c r="C19" s="260" t="s">
        <v>879</v>
      </c>
      <c r="D19" s="261"/>
      <c r="E19" s="262"/>
      <c r="F19" s="262"/>
      <c r="G19" s="263"/>
      <c r="H19" s="568">
        <f>H16*(1-H17)</f>
        <v>0</v>
      </c>
    </row>
    <row r="20" spans="1:8">
      <c r="A20" s="557">
        <f>A9-1</f>
        <v>-2</v>
      </c>
      <c r="B20" s="558" t="s">
        <v>77</v>
      </c>
      <c r="C20" s="559"/>
      <c r="D20" s="560"/>
      <c r="E20" s="560"/>
      <c r="F20" s="560"/>
      <c r="G20" s="560"/>
      <c r="H20" s="561"/>
    </row>
    <row r="21" spans="1:8">
      <c r="A21" s="232"/>
      <c r="B21" s="233" t="s">
        <v>117</v>
      </c>
      <c r="C21" s="234" t="s">
        <v>71</v>
      </c>
      <c r="D21" s="326">
        <f>'E-Expense'!E21</f>
        <v>0</v>
      </c>
      <c r="E21" s="327">
        <f>'E-Expense'!F21</f>
        <v>0</v>
      </c>
      <c r="F21" s="328">
        <f>'E-Expense'!G21</f>
        <v>0</v>
      </c>
      <c r="G21" s="235">
        <f>SUM(D21:F21)</f>
        <v>0</v>
      </c>
      <c r="H21" s="236"/>
    </row>
    <row r="22" spans="1:8">
      <c r="A22" s="237"/>
      <c r="B22" s="238" t="s">
        <v>118</v>
      </c>
      <c r="C22" s="239" t="s">
        <v>72</v>
      </c>
      <c r="D22" s="240">
        <f>'E-Expense'!E22</f>
        <v>0</v>
      </c>
      <c r="E22" s="241">
        <f>'E-Expense'!F22</f>
        <v>0</v>
      </c>
      <c r="F22" s="264">
        <f>'E-Expense'!G22</f>
        <v>0</v>
      </c>
      <c r="G22" s="242">
        <f>SUM(D22:F22)</f>
        <v>0</v>
      </c>
      <c r="H22" s="243"/>
    </row>
    <row r="23" spans="1:8">
      <c r="A23" s="237"/>
      <c r="B23" s="244" t="s">
        <v>119</v>
      </c>
      <c r="C23" s="245" t="s">
        <v>73</v>
      </c>
      <c r="D23" s="246">
        <f>D21-D22</f>
        <v>0</v>
      </c>
      <c r="E23" s="247">
        <f t="shared" ref="E23" si="2">E21-E22</f>
        <v>0</v>
      </c>
      <c r="F23" s="310">
        <f t="shared" ref="F23" si="3">F21-F22</f>
        <v>0</v>
      </c>
      <c r="G23" s="248">
        <f>SUM(D23:F23)</f>
        <v>0</v>
      </c>
      <c r="H23" s="243"/>
    </row>
    <row r="24" spans="1:8">
      <c r="A24" s="237"/>
      <c r="B24" s="238" t="s">
        <v>120</v>
      </c>
      <c r="C24" s="239" t="s">
        <v>78</v>
      </c>
      <c r="D24" s="240">
        <f>'E-Expense'!E18</f>
        <v>0</v>
      </c>
      <c r="E24" s="241">
        <f>'E-Expense'!F18</f>
        <v>0</v>
      </c>
      <c r="F24" s="264">
        <f>'E-Expense'!G18</f>
        <v>0</v>
      </c>
      <c r="G24" s="242">
        <f>SUM(D24:F24)</f>
        <v>0</v>
      </c>
      <c r="H24" s="243"/>
    </row>
    <row r="25" spans="1:8">
      <c r="A25" s="237"/>
      <c r="B25" s="249" t="s">
        <v>121</v>
      </c>
      <c r="C25" s="431" t="s">
        <v>480</v>
      </c>
      <c r="D25" s="250">
        <f>IFERROR(D23/D24,0)</f>
        <v>0</v>
      </c>
      <c r="E25" s="251">
        <f t="shared" ref="E25" si="4">IFERROR(E23/E24,0)</f>
        <v>0</v>
      </c>
      <c r="F25" s="329">
        <f t="shared" ref="F25" si="5">IFERROR(F23/F24,0)</f>
        <v>0</v>
      </c>
      <c r="G25" s="250">
        <f t="shared" ref="G25" si="6">IFERROR(G23/G24,0)</f>
        <v>0</v>
      </c>
      <c r="H25" s="758"/>
    </row>
    <row r="26" spans="1:8">
      <c r="A26" s="237"/>
      <c r="B26" s="252" t="s">
        <v>122</v>
      </c>
      <c r="C26" s="253" t="s">
        <v>74</v>
      </c>
      <c r="D26" s="254"/>
      <c r="E26" s="255"/>
      <c r="F26" s="255"/>
      <c r="G26" s="256"/>
      <c r="H26" s="760"/>
    </row>
    <row r="27" spans="1:8">
      <c r="A27" s="237"/>
      <c r="B27" s="257" t="s">
        <v>123</v>
      </c>
      <c r="C27" s="258" t="s">
        <v>880</v>
      </c>
      <c r="D27" s="254"/>
      <c r="E27" s="255"/>
      <c r="F27" s="255"/>
      <c r="G27" s="256"/>
      <c r="H27" s="483">
        <f>H25*H26</f>
        <v>0</v>
      </c>
    </row>
    <row r="28" spans="1:8">
      <c r="A28" s="237"/>
      <c r="B28" s="259" t="s">
        <v>124</v>
      </c>
      <c r="C28" s="260" t="s">
        <v>881</v>
      </c>
      <c r="D28" s="261"/>
      <c r="E28" s="262"/>
      <c r="F28" s="262"/>
      <c r="G28" s="263"/>
      <c r="H28" s="568">
        <f>H25*(1-H26)</f>
        <v>0</v>
      </c>
    </row>
    <row r="29" spans="1:8">
      <c r="A29" s="557">
        <f>A20-1</f>
        <v>-3</v>
      </c>
      <c r="B29" s="558" t="s">
        <v>79</v>
      </c>
      <c r="C29" s="559"/>
      <c r="D29" s="560"/>
      <c r="E29" s="560"/>
      <c r="F29" s="560"/>
      <c r="G29" s="560"/>
      <c r="H29" s="561"/>
    </row>
    <row r="30" spans="1:8">
      <c r="A30" s="232"/>
      <c r="B30" s="233" t="s">
        <v>117</v>
      </c>
      <c r="C30" s="234" t="s">
        <v>80</v>
      </c>
      <c r="D30" s="326">
        <f>'E-Expense'!E13</f>
        <v>0</v>
      </c>
      <c r="E30" s="327">
        <f>'E-Expense'!F13</f>
        <v>0</v>
      </c>
      <c r="F30" s="328">
        <f>'E-Expense'!G13</f>
        <v>0</v>
      </c>
      <c r="G30" s="235">
        <f>SUM(D30:F30)</f>
        <v>0</v>
      </c>
      <c r="H30" s="236"/>
    </row>
    <row r="31" spans="1:8">
      <c r="A31" s="237"/>
      <c r="B31" s="238" t="s">
        <v>118</v>
      </c>
      <c r="C31" s="239" t="s">
        <v>72</v>
      </c>
      <c r="D31" s="761">
        <v>0</v>
      </c>
      <c r="E31" s="762">
        <v>0</v>
      </c>
      <c r="F31" s="763">
        <v>0</v>
      </c>
      <c r="G31" s="242">
        <f>SUM(D31:F31)</f>
        <v>0</v>
      </c>
      <c r="H31" s="243"/>
    </row>
    <row r="32" spans="1:8">
      <c r="A32" s="237"/>
      <c r="B32" s="244" t="s">
        <v>119</v>
      </c>
      <c r="C32" s="245" t="s">
        <v>81</v>
      </c>
      <c r="D32" s="246">
        <f>D30-D31</f>
        <v>0</v>
      </c>
      <c r="E32" s="247">
        <f t="shared" ref="E32" si="7">E30-E31</f>
        <v>0</v>
      </c>
      <c r="F32" s="310">
        <f t="shared" ref="F32" si="8">F30-F31</f>
        <v>0</v>
      </c>
      <c r="G32" s="248">
        <f>SUM(D32:F32)</f>
        <v>0</v>
      </c>
      <c r="H32" s="243"/>
    </row>
    <row r="33" spans="1:8">
      <c r="A33" s="237"/>
      <c r="B33" s="238" t="s">
        <v>120</v>
      </c>
      <c r="C33" s="239" t="s">
        <v>82</v>
      </c>
      <c r="D33" s="240">
        <f>'E-Expense'!E11</f>
        <v>0</v>
      </c>
      <c r="E33" s="241">
        <f>'E-Expense'!F11</f>
        <v>0</v>
      </c>
      <c r="F33" s="264">
        <f>'E-Expense'!G11</f>
        <v>0</v>
      </c>
      <c r="G33" s="242">
        <f>SUM(D33:F33)</f>
        <v>0</v>
      </c>
      <c r="H33" s="243"/>
    </row>
    <row r="34" spans="1:8">
      <c r="A34" s="237"/>
      <c r="B34" s="249" t="s">
        <v>121</v>
      </c>
      <c r="C34" s="431" t="s">
        <v>480</v>
      </c>
      <c r="D34" s="250">
        <f>IFERROR(D32/D33,0)</f>
        <v>0</v>
      </c>
      <c r="E34" s="251">
        <f t="shared" ref="E34" si="9">IFERROR(E32/E33,0)</f>
        <v>0</v>
      </c>
      <c r="F34" s="329">
        <f t="shared" ref="F34" si="10">IFERROR(F32/F33,0)</f>
        <v>0</v>
      </c>
      <c r="G34" s="250">
        <f>IFERROR(G32/G33,0)</f>
        <v>0</v>
      </c>
      <c r="H34" s="758"/>
    </row>
    <row r="35" spans="1:8">
      <c r="A35" s="237"/>
      <c r="B35" s="252" t="s">
        <v>122</v>
      </c>
      <c r="C35" s="253" t="s">
        <v>74</v>
      </c>
      <c r="D35" s="254"/>
      <c r="E35" s="255"/>
      <c r="F35" s="255"/>
      <c r="G35" s="256"/>
      <c r="H35" s="760"/>
    </row>
    <row r="36" spans="1:8">
      <c r="A36" s="237"/>
      <c r="B36" s="257" t="s">
        <v>123</v>
      </c>
      <c r="C36" s="258" t="s">
        <v>882</v>
      </c>
      <c r="D36" s="254"/>
      <c r="E36" s="255"/>
      <c r="F36" s="255"/>
      <c r="G36" s="256"/>
      <c r="H36" s="483">
        <f>H34*H35</f>
        <v>0</v>
      </c>
    </row>
    <row r="37" spans="1:8">
      <c r="A37" s="237"/>
      <c r="B37" s="259" t="s">
        <v>124</v>
      </c>
      <c r="C37" s="260" t="s">
        <v>883</v>
      </c>
      <c r="D37" s="261"/>
      <c r="E37" s="262"/>
      <c r="F37" s="262"/>
      <c r="G37" s="263"/>
      <c r="H37" s="568">
        <f>H34*(1-H35)</f>
        <v>0</v>
      </c>
    </row>
    <row r="38" spans="1:8">
      <c r="A38" s="557">
        <f>A29-1</f>
        <v>-4</v>
      </c>
      <c r="B38" s="558" t="s">
        <v>138</v>
      </c>
      <c r="C38" s="559"/>
      <c r="D38" s="560"/>
      <c r="E38" s="560"/>
      <c r="F38" s="560"/>
      <c r="G38" s="560"/>
      <c r="H38" s="561"/>
    </row>
    <row r="39" spans="1:8">
      <c r="A39" s="232"/>
      <c r="B39" s="233" t="s">
        <v>117</v>
      </c>
      <c r="C39" s="234" t="s">
        <v>80</v>
      </c>
      <c r="D39" s="326">
        <f>'E-Expense'!E14</f>
        <v>0</v>
      </c>
      <c r="E39" s="327">
        <f>'E-Expense'!F14</f>
        <v>0</v>
      </c>
      <c r="F39" s="328">
        <f>'E-Expense'!G14</f>
        <v>0</v>
      </c>
      <c r="G39" s="235">
        <f>SUM(D39:F39)</f>
        <v>0</v>
      </c>
      <c r="H39" s="236"/>
    </row>
    <row r="40" spans="1:8">
      <c r="A40" s="237"/>
      <c r="B40" s="238" t="s">
        <v>118</v>
      </c>
      <c r="C40" s="239" t="s">
        <v>72</v>
      </c>
      <c r="D40" s="761">
        <v>0</v>
      </c>
      <c r="E40" s="762">
        <v>0</v>
      </c>
      <c r="F40" s="763">
        <v>0</v>
      </c>
      <c r="G40" s="242">
        <f>SUM(D40:F40)</f>
        <v>0</v>
      </c>
      <c r="H40" s="243"/>
    </row>
    <row r="41" spans="1:8">
      <c r="A41" s="237"/>
      <c r="B41" s="244" t="s">
        <v>119</v>
      </c>
      <c r="C41" s="245" t="s">
        <v>81</v>
      </c>
      <c r="D41" s="246">
        <f>D39-D40</f>
        <v>0</v>
      </c>
      <c r="E41" s="247">
        <f t="shared" ref="E41" si="11">E39-E40</f>
        <v>0</v>
      </c>
      <c r="F41" s="310">
        <f t="shared" ref="F41" si="12">F39-F40</f>
        <v>0</v>
      </c>
      <c r="G41" s="248">
        <f>SUM(D41:F41)</f>
        <v>0</v>
      </c>
      <c r="H41" s="243"/>
    </row>
    <row r="42" spans="1:8">
      <c r="A42" s="237"/>
      <c r="B42" s="238" t="s">
        <v>120</v>
      </c>
      <c r="C42" s="239" t="s">
        <v>82</v>
      </c>
      <c r="D42" s="240">
        <f>D33</f>
        <v>0</v>
      </c>
      <c r="E42" s="241">
        <f t="shared" ref="E42:F42" si="13">E33</f>
        <v>0</v>
      </c>
      <c r="F42" s="264">
        <f t="shared" si="13"/>
        <v>0</v>
      </c>
      <c r="G42" s="242">
        <f>SUM(D42:F42)</f>
        <v>0</v>
      </c>
      <c r="H42" s="243"/>
    </row>
    <row r="43" spans="1:8">
      <c r="A43" s="237"/>
      <c r="B43" s="249" t="s">
        <v>121</v>
      </c>
      <c r="C43" s="431" t="s">
        <v>480</v>
      </c>
      <c r="D43" s="250">
        <f>IFERROR(D41/D42,0)</f>
        <v>0</v>
      </c>
      <c r="E43" s="251">
        <f t="shared" ref="E43" si="14">IFERROR(E41/E42,0)</f>
        <v>0</v>
      </c>
      <c r="F43" s="329">
        <f t="shared" ref="F43" si="15">IFERROR(F41/F42,0)</f>
        <v>0</v>
      </c>
      <c r="G43" s="250">
        <f>IFERROR(G41/G42,0)</f>
        <v>0</v>
      </c>
      <c r="H43" s="758"/>
    </row>
    <row r="44" spans="1:8">
      <c r="A44" s="237"/>
      <c r="B44" s="252" t="s">
        <v>122</v>
      </c>
      <c r="C44" s="253" t="s">
        <v>74</v>
      </c>
      <c r="D44" s="254"/>
      <c r="E44" s="255"/>
      <c r="F44" s="255"/>
      <c r="G44" s="256"/>
      <c r="H44" s="760"/>
    </row>
    <row r="45" spans="1:8">
      <c r="A45" s="237"/>
      <c r="B45" s="257" t="s">
        <v>123</v>
      </c>
      <c r="C45" s="258" t="s">
        <v>884</v>
      </c>
      <c r="D45" s="254"/>
      <c r="E45" s="255"/>
      <c r="F45" s="255"/>
      <c r="G45" s="256"/>
      <c r="H45" s="483">
        <f>H43*H44</f>
        <v>0</v>
      </c>
    </row>
    <row r="46" spans="1:8">
      <c r="A46" s="237"/>
      <c r="B46" s="259" t="s">
        <v>124</v>
      </c>
      <c r="C46" s="260" t="s">
        <v>885</v>
      </c>
      <c r="D46" s="261"/>
      <c r="E46" s="262"/>
      <c r="F46" s="262"/>
      <c r="G46" s="263"/>
      <c r="H46" s="568">
        <f>H43*(1-H44)</f>
        <v>0</v>
      </c>
    </row>
    <row r="47" spans="1:8">
      <c r="A47" s="557">
        <f>A38-1</f>
        <v>-5</v>
      </c>
      <c r="B47" s="558" t="s">
        <v>83</v>
      </c>
      <c r="C47" s="559"/>
      <c r="D47" s="560"/>
      <c r="E47" s="560"/>
      <c r="F47" s="560"/>
      <c r="G47" s="560"/>
      <c r="H47" s="561"/>
    </row>
    <row r="48" spans="1:8">
      <c r="B48" s="265" t="s">
        <v>117</v>
      </c>
      <c r="C48" s="1200" t="s">
        <v>886</v>
      </c>
      <c r="D48" s="267"/>
      <c r="E48" s="267"/>
      <c r="F48" s="267"/>
      <c r="G48" s="267"/>
      <c r="H48" s="484">
        <f>'11-Reinsurance'!D16</f>
        <v>0</v>
      </c>
    </row>
    <row r="49" spans="1:8">
      <c r="B49" s="348" t="s">
        <v>118</v>
      </c>
      <c r="C49" s="569" t="s">
        <v>871</v>
      </c>
      <c r="D49" s="570"/>
      <c r="E49" s="570"/>
      <c r="F49" s="570"/>
      <c r="G49" s="570"/>
      <c r="H49" s="568">
        <f>'11-Reinsurance'!D17</f>
        <v>0</v>
      </c>
    </row>
    <row r="50" spans="1:8">
      <c r="B50" s="268" t="s">
        <v>119</v>
      </c>
      <c r="C50" s="1213" t="s">
        <v>872</v>
      </c>
      <c r="D50" s="270"/>
      <c r="E50" s="270"/>
      <c r="F50" s="270"/>
      <c r="G50" s="270"/>
      <c r="H50" s="271">
        <f>H48+H49</f>
        <v>0</v>
      </c>
    </row>
    <row r="51" spans="1:8">
      <c r="A51" s="557">
        <f>A47-1</f>
        <v>-6</v>
      </c>
      <c r="B51" s="558" t="s">
        <v>861</v>
      </c>
      <c r="C51" s="559"/>
      <c r="D51" s="560"/>
      <c r="E51" s="560"/>
      <c r="F51" s="560"/>
      <c r="G51" s="560"/>
      <c r="H51" s="561"/>
    </row>
    <row r="52" spans="1:8">
      <c r="B52" s="265" t="s">
        <v>117</v>
      </c>
      <c r="C52" s="1176" t="s">
        <v>859</v>
      </c>
      <c r="D52" s="267"/>
      <c r="E52" s="267"/>
      <c r="F52" s="267"/>
      <c r="G52" s="267"/>
      <c r="H52" s="484">
        <f>IF('12A-Profit'!E28='12A-Profit'!I28,'12A-Profit'!E27,0)</f>
        <v>0</v>
      </c>
    </row>
    <row r="53" spans="1:8">
      <c r="B53" s="348" t="s">
        <v>118</v>
      </c>
      <c r="C53" s="569" t="s">
        <v>860</v>
      </c>
      <c r="D53" s="570"/>
      <c r="E53" s="570"/>
      <c r="F53" s="570"/>
      <c r="G53" s="570"/>
      <c r="H53" s="568">
        <f>IF('12A-Profit'!E28='12A-Profit'!I29,'12A-Profit'!E26+'12A-Profit'!E27,'12A-Profit'!E26)</f>
        <v>0</v>
      </c>
    </row>
    <row r="54" spans="1:8">
      <c r="B54" s="268" t="s">
        <v>119</v>
      </c>
      <c r="C54" s="1213" t="s">
        <v>873</v>
      </c>
      <c r="D54" s="270"/>
      <c r="E54" s="270"/>
      <c r="F54" s="270"/>
      <c r="G54" s="270"/>
      <c r="H54" s="271">
        <f>H52+H53</f>
        <v>0</v>
      </c>
    </row>
    <row r="55" spans="1:8">
      <c r="A55" s="557">
        <f>A51-1</f>
        <v>-7</v>
      </c>
      <c r="B55" s="558" t="s">
        <v>139</v>
      </c>
      <c r="C55" s="559"/>
      <c r="D55" s="560"/>
      <c r="E55" s="560"/>
      <c r="F55" s="560"/>
      <c r="G55" s="560"/>
      <c r="H55" s="561"/>
    </row>
    <row r="56" spans="1:8">
      <c r="B56" s="265" t="s">
        <v>117</v>
      </c>
      <c r="C56" s="266" t="s">
        <v>456</v>
      </c>
      <c r="D56" s="267"/>
      <c r="E56" s="267"/>
      <c r="F56" s="267"/>
      <c r="G56" s="267"/>
      <c r="H56" s="484">
        <f>'14-Fees'!G38</f>
        <v>0</v>
      </c>
    </row>
    <row r="57" spans="1:8">
      <c r="B57" s="348" t="s">
        <v>118</v>
      </c>
      <c r="C57" s="569" t="s">
        <v>457</v>
      </c>
      <c r="D57" s="570"/>
      <c r="E57" s="570"/>
      <c r="F57" s="570"/>
      <c r="G57" s="570"/>
      <c r="H57" s="568">
        <f>'14-Fees'!G45</f>
        <v>0</v>
      </c>
    </row>
    <row r="58" spans="1:8">
      <c r="B58" s="268" t="s">
        <v>119</v>
      </c>
      <c r="C58" s="269" t="s">
        <v>874</v>
      </c>
      <c r="D58" s="270"/>
      <c r="E58" s="270"/>
      <c r="F58" s="270"/>
      <c r="G58" s="270"/>
      <c r="H58" s="271">
        <f>H56+H57</f>
        <v>0</v>
      </c>
    </row>
    <row r="59" spans="1:8">
      <c r="A59" s="557">
        <f>A55-1</f>
        <v>-8</v>
      </c>
      <c r="B59" s="558" t="s">
        <v>84</v>
      </c>
      <c r="C59" s="559"/>
      <c r="D59" s="560"/>
      <c r="E59" s="560"/>
      <c r="F59" s="560"/>
      <c r="G59" s="560"/>
      <c r="H59" s="561"/>
    </row>
    <row r="60" spans="1:8">
      <c r="A60" s="562"/>
      <c r="B60" s="563" t="s">
        <v>117</v>
      </c>
      <c r="C60" s="564" t="s">
        <v>876</v>
      </c>
      <c r="D60" s="565"/>
      <c r="E60" s="565"/>
      <c r="F60" s="565"/>
      <c r="G60" s="566"/>
      <c r="H60" s="462">
        <f>H18+H27+H36+H45+H48+H52-H56</f>
        <v>0</v>
      </c>
    </row>
    <row r="61" spans="1:8">
      <c r="B61" s="571" t="s">
        <v>118</v>
      </c>
      <c r="C61" s="569" t="s">
        <v>877</v>
      </c>
      <c r="D61" s="570"/>
      <c r="E61" s="570"/>
      <c r="F61" s="570"/>
      <c r="G61" s="572"/>
      <c r="H61" s="573">
        <f>H19+H28+H37+H46+H49+H53-H57</f>
        <v>0</v>
      </c>
    </row>
    <row r="62" spans="1:8">
      <c r="B62" s="268" t="s">
        <v>119</v>
      </c>
      <c r="C62" s="269" t="s">
        <v>875</v>
      </c>
      <c r="D62" s="270"/>
      <c r="E62" s="270"/>
      <c r="F62" s="270"/>
      <c r="G62" s="270"/>
      <c r="H62" s="271">
        <f>H60+H61</f>
        <v>0</v>
      </c>
    </row>
    <row r="63" spans="1:8">
      <c r="A63" s="557">
        <f>A59-1</f>
        <v>-9</v>
      </c>
      <c r="B63" s="558" t="s">
        <v>85</v>
      </c>
      <c r="C63" s="558"/>
      <c r="D63" s="560"/>
      <c r="E63" s="560"/>
      <c r="F63" s="560"/>
      <c r="G63" s="560"/>
      <c r="H63" s="1212">
        <f>1-H61</f>
        <v>1</v>
      </c>
    </row>
    <row r="65" spans="1:11" ht="14.45" customHeight="1">
      <c r="A65" s="1">
        <f>A63-1</f>
        <v>-10</v>
      </c>
      <c r="B65" s="1531" t="s">
        <v>894</v>
      </c>
      <c r="C65" s="1532"/>
      <c r="D65" s="1532"/>
      <c r="E65" s="1532"/>
      <c r="F65" s="1532"/>
      <c r="G65" s="1532"/>
      <c r="H65" s="1532"/>
    </row>
    <row r="66" spans="1:11">
      <c r="A66" s="46"/>
      <c r="B66" s="1533"/>
      <c r="C66" s="1533"/>
      <c r="D66" s="1533"/>
      <c r="E66" s="1533"/>
      <c r="F66" s="1533"/>
      <c r="G66" s="1533"/>
      <c r="H66" s="1533"/>
      <c r="K66" s="764" t="s">
        <v>833</v>
      </c>
    </row>
    <row r="67" spans="1:11">
      <c r="A67" s="46"/>
      <c r="B67" s="1538" t="s">
        <v>833</v>
      </c>
      <c r="C67" s="1539"/>
      <c r="D67" s="1158"/>
      <c r="E67" s="1158"/>
      <c r="F67" s="1158"/>
      <c r="G67" s="1158"/>
      <c r="H67" s="1159"/>
      <c r="K67" s="764" t="s">
        <v>827</v>
      </c>
    </row>
    <row r="68" spans="1:11">
      <c r="H68" s="46"/>
    </row>
    <row r="69" spans="1:11" ht="14.45" customHeight="1">
      <c r="A69" s="1">
        <f>A65-1</f>
        <v>-11</v>
      </c>
      <c r="B69" s="1534" t="s">
        <v>862</v>
      </c>
      <c r="C69" s="1534"/>
      <c r="D69" s="1534"/>
      <c r="E69" s="1534"/>
      <c r="F69" s="1534"/>
      <c r="G69" s="1534"/>
      <c r="H69" s="1534"/>
    </row>
    <row r="70" spans="1:11">
      <c r="B70" s="1535"/>
      <c r="C70" s="1535"/>
      <c r="D70" s="1535"/>
      <c r="E70" s="1535"/>
      <c r="F70" s="1535"/>
      <c r="G70" s="1535"/>
      <c r="H70" s="1535"/>
    </row>
    <row r="71" spans="1:11">
      <c r="B71" s="1535"/>
      <c r="C71" s="1535"/>
      <c r="D71" s="1535"/>
      <c r="E71" s="1535"/>
      <c r="F71" s="1535"/>
      <c r="G71" s="1535"/>
      <c r="H71" s="1535"/>
    </row>
    <row r="72" spans="1:11">
      <c r="B72" s="1536"/>
      <c r="C72" s="1536"/>
      <c r="D72" s="1536"/>
      <c r="E72" s="1536"/>
      <c r="F72" s="1536"/>
      <c r="G72" s="1536"/>
      <c r="H72" s="1536"/>
    </row>
    <row r="73" spans="1:11">
      <c r="B73" s="1536"/>
      <c r="C73" s="1536"/>
      <c r="D73" s="1536"/>
      <c r="E73" s="1536"/>
      <c r="F73" s="1536"/>
      <c r="G73" s="1536"/>
      <c r="H73" s="1536"/>
    </row>
    <row r="74" spans="1:11">
      <c r="B74" s="1536"/>
      <c r="C74" s="1536"/>
      <c r="D74" s="1536"/>
      <c r="E74" s="1536"/>
      <c r="F74" s="1536"/>
      <c r="G74" s="1536"/>
      <c r="H74" s="1536"/>
    </row>
    <row r="75" spans="1:11">
      <c r="B75" s="1536"/>
      <c r="C75" s="1536"/>
      <c r="D75" s="1536"/>
      <c r="E75" s="1536"/>
      <c r="F75" s="1536"/>
      <c r="G75" s="1536"/>
      <c r="H75" s="1536"/>
    </row>
    <row r="76" spans="1:11">
      <c r="B76" s="1537"/>
      <c r="C76" s="1537"/>
      <c r="D76" s="1537"/>
      <c r="E76" s="1537"/>
      <c r="F76" s="1537"/>
      <c r="G76" s="1537"/>
      <c r="H76" s="1537"/>
    </row>
    <row r="77" spans="1:11">
      <c r="H77" s="46"/>
    </row>
    <row r="78" spans="1:11" ht="14.45" customHeight="1">
      <c r="A78" s="1">
        <f>A69-1</f>
        <v>-12</v>
      </c>
      <c r="B78" s="1411" t="s">
        <v>615</v>
      </c>
      <c r="C78" s="1412"/>
      <c r="D78" s="1412"/>
      <c r="E78" s="1412"/>
      <c r="F78" s="1412"/>
      <c r="G78" s="1412"/>
      <c r="H78" s="1413"/>
    </row>
    <row r="79" spans="1:11">
      <c r="A79" s="46"/>
      <c r="B79" s="1414"/>
      <c r="C79" s="1415"/>
      <c r="D79" s="1415"/>
      <c r="E79" s="1415"/>
      <c r="F79" s="1415"/>
      <c r="G79" s="1415"/>
      <c r="H79" s="1416"/>
    </row>
    <row r="80" spans="1:11">
      <c r="A80" s="46"/>
      <c r="B80" s="1362"/>
      <c r="C80" s="1363"/>
      <c r="D80" s="1363"/>
      <c r="E80" s="1363"/>
      <c r="F80" s="1363"/>
      <c r="G80" s="1363"/>
      <c r="H80" s="1364"/>
    </row>
    <row r="81" spans="1:9">
      <c r="A81" s="46"/>
      <c r="B81" s="1298"/>
      <c r="C81" s="1299"/>
      <c r="D81" s="1299"/>
      <c r="E81" s="1299"/>
      <c r="F81" s="1299"/>
      <c r="G81" s="1299"/>
      <c r="H81" s="1300"/>
    </row>
    <row r="82" spans="1:9">
      <c r="A82" s="46"/>
      <c r="B82" s="1298"/>
      <c r="C82" s="1299"/>
      <c r="D82" s="1299"/>
      <c r="E82" s="1299"/>
      <c r="F82" s="1299"/>
      <c r="G82" s="1299"/>
      <c r="H82" s="1300"/>
    </row>
    <row r="83" spans="1:9">
      <c r="A83" s="46"/>
      <c r="B83" s="1298"/>
      <c r="C83" s="1299"/>
      <c r="D83" s="1299"/>
      <c r="E83" s="1299"/>
      <c r="F83" s="1299"/>
      <c r="G83" s="1299"/>
      <c r="H83" s="1300"/>
    </row>
    <row r="84" spans="1:9">
      <c r="A84" s="46"/>
      <c r="B84" s="1301"/>
      <c r="C84" s="1302"/>
      <c r="D84" s="1302"/>
      <c r="E84" s="1302"/>
      <c r="F84" s="1302"/>
      <c r="G84" s="1302"/>
      <c r="H84" s="1303"/>
    </row>
    <row r="85" spans="1:9">
      <c r="A85" s="46"/>
      <c r="B85" s="343"/>
      <c r="C85" s="343"/>
      <c r="D85" s="343"/>
      <c r="E85" s="343"/>
      <c r="F85" s="343"/>
      <c r="G85" s="343"/>
      <c r="H85" s="343"/>
      <c r="I85" s="283"/>
    </row>
    <row r="86" spans="1:9" ht="14.45" customHeight="1">
      <c r="A86" s="1">
        <f>A78-1</f>
        <v>-13</v>
      </c>
      <c r="B86" s="1411" t="s">
        <v>616</v>
      </c>
      <c r="C86" s="1412"/>
      <c r="D86" s="1412"/>
      <c r="E86" s="1412"/>
      <c r="F86" s="1412"/>
      <c r="G86" s="1412"/>
      <c r="H86" s="1413"/>
      <c r="I86" s="283"/>
    </row>
    <row r="87" spans="1:9">
      <c r="A87" s="46"/>
      <c r="B87" s="1414"/>
      <c r="C87" s="1415"/>
      <c r="D87" s="1415"/>
      <c r="E87" s="1415"/>
      <c r="F87" s="1415"/>
      <c r="G87" s="1415"/>
      <c r="H87" s="1416"/>
      <c r="I87" s="283"/>
    </row>
    <row r="88" spans="1:9">
      <c r="A88" s="46"/>
      <c r="B88" s="1362"/>
      <c r="C88" s="1522"/>
      <c r="D88" s="1522"/>
      <c r="E88" s="1522"/>
      <c r="F88" s="1522"/>
      <c r="G88" s="1522"/>
      <c r="H88" s="1523"/>
      <c r="I88" s="283"/>
    </row>
    <row r="89" spans="1:9">
      <c r="A89" s="46"/>
      <c r="B89" s="1524"/>
      <c r="C89" s="1525"/>
      <c r="D89" s="1525"/>
      <c r="E89" s="1525"/>
      <c r="F89" s="1525"/>
      <c r="G89" s="1525"/>
      <c r="H89" s="1526"/>
      <c r="I89" s="283"/>
    </row>
    <row r="90" spans="1:9">
      <c r="A90" s="46"/>
      <c r="B90" s="1524"/>
      <c r="C90" s="1525"/>
      <c r="D90" s="1525"/>
      <c r="E90" s="1525"/>
      <c r="F90" s="1525"/>
      <c r="G90" s="1525"/>
      <c r="H90" s="1526"/>
    </row>
    <row r="91" spans="1:9">
      <c r="A91" s="46"/>
      <c r="B91" s="1524"/>
      <c r="C91" s="1525"/>
      <c r="D91" s="1525"/>
      <c r="E91" s="1525"/>
      <c r="F91" s="1525"/>
      <c r="G91" s="1525"/>
      <c r="H91" s="1526"/>
    </row>
    <row r="92" spans="1:9">
      <c r="A92" s="46"/>
      <c r="B92" s="1289"/>
      <c r="C92" s="1290"/>
      <c r="D92" s="1290"/>
      <c r="E92" s="1290"/>
      <c r="F92" s="1290"/>
      <c r="G92" s="1290"/>
      <c r="H92" s="1527"/>
    </row>
    <row r="93" spans="1:9">
      <c r="A93" s="46"/>
      <c r="B93" s="1"/>
      <c r="H93" s="46"/>
    </row>
    <row r="94" spans="1:9" ht="14.45" customHeight="1">
      <c r="A94" s="1">
        <f>A86-1</f>
        <v>-14</v>
      </c>
      <c r="B94" s="1411" t="s">
        <v>617</v>
      </c>
      <c r="C94" s="1412"/>
      <c r="D94" s="1412"/>
      <c r="E94" s="1412"/>
      <c r="F94" s="1412"/>
      <c r="G94" s="1412"/>
      <c r="H94" s="1413"/>
    </row>
    <row r="95" spans="1:9">
      <c r="A95" s="46"/>
      <c r="B95" s="1414"/>
      <c r="C95" s="1415"/>
      <c r="D95" s="1415"/>
      <c r="E95" s="1415"/>
      <c r="F95" s="1415"/>
      <c r="G95" s="1415"/>
      <c r="H95" s="1416"/>
    </row>
    <row r="96" spans="1:9">
      <c r="A96" s="46"/>
      <c r="B96" s="1362"/>
      <c r="C96" s="1522"/>
      <c r="D96" s="1522"/>
      <c r="E96" s="1522"/>
      <c r="F96" s="1522"/>
      <c r="G96" s="1522"/>
      <c r="H96" s="1523"/>
    </row>
    <row r="97" spans="1:8">
      <c r="A97" s="46"/>
      <c r="B97" s="1524"/>
      <c r="C97" s="1525"/>
      <c r="D97" s="1525"/>
      <c r="E97" s="1525"/>
      <c r="F97" s="1525"/>
      <c r="G97" s="1525"/>
      <c r="H97" s="1526"/>
    </row>
    <row r="98" spans="1:8">
      <c r="A98" s="46"/>
      <c r="B98" s="1524"/>
      <c r="C98" s="1525"/>
      <c r="D98" s="1525"/>
      <c r="E98" s="1525"/>
      <c r="F98" s="1525"/>
      <c r="G98" s="1525"/>
      <c r="H98" s="1526"/>
    </row>
    <row r="99" spans="1:8">
      <c r="A99" s="46"/>
      <c r="B99" s="1524"/>
      <c r="C99" s="1525"/>
      <c r="D99" s="1525"/>
      <c r="E99" s="1525"/>
      <c r="F99" s="1525"/>
      <c r="G99" s="1525"/>
      <c r="H99" s="1526"/>
    </row>
    <row r="100" spans="1:8">
      <c r="A100" s="46"/>
      <c r="B100" s="1289"/>
      <c r="C100" s="1290"/>
      <c r="D100" s="1290"/>
      <c r="E100" s="1290"/>
      <c r="F100" s="1290"/>
      <c r="G100" s="1290"/>
      <c r="H100" s="1527"/>
    </row>
    <row r="101" spans="1:8">
      <c r="A101" s="46"/>
      <c r="B101" s="1"/>
      <c r="H101" s="46"/>
    </row>
    <row r="102" spans="1:8" ht="14.45" customHeight="1">
      <c r="A102" s="1">
        <f>A94-1</f>
        <v>-15</v>
      </c>
      <c r="B102" s="1411" t="s">
        <v>618</v>
      </c>
      <c r="C102" s="1412"/>
      <c r="D102" s="1412"/>
      <c r="E102" s="1412"/>
      <c r="F102" s="1412"/>
      <c r="G102" s="1412"/>
      <c r="H102" s="1413"/>
    </row>
    <row r="103" spans="1:8">
      <c r="A103" s="46"/>
      <c r="B103" s="1414"/>
      <c r="C103" s="1415"/>
      <c r="D103" s="1415"/>
      <c r="E103" s="1415"/>
      <c r="F103" s="1415"/>
      <c r="G103" s="1415"/>
      <c r="H103" s="1416"/>
    </row>
    <row r="104" spans="1:8">
      <c r="A104" s="46"/>
      <c r="B104" s="1362"/>
      <c r="C104" s="1363"/>
      <c r="D104" s="1363"/>
      <c r="E104" s="1363"/>
      <c r="F104" s="1363"/>
      <c r="G104" s="1363"/>
      <c r="H104" s="1364"/>
    </row>
    <row r="105" spans="1:8">
      <c r="A105" s="46"/>
      <c r="B105" s="1298"/>
      <c r="C105" s="1299"/>
      <c r="D105" s="1299"/>
      <c r="E105" s="1299"/>
      <c r="F105" s="1299"/>
      <c r="G105" s="1299"/>
      <c r="H105" s="1300"/>
    </row>
    <row r="106" spans="1:8">
      <c r="A106" s="46"/>
      <c r="B106" s="1298"/>
      <c r="C106" s="1299"/>
      <c r="D106" s="1299"/>
      <c r="E106" s="1299"/>
      <c r="F106" s="1299"/>
      <c r="G106" s="1299"/>
      <c r="H106" s="1300"/>
    </row>
    <row r="107" spans="1:8">
      <c r="A107" s="46"/>
      <c r="B107" s="1298"/>
      <c r="C107" s="1299"/>
      <c r="D107" s="1299"/>
      <c r="E107" s="1299"/>
      <c r="F107" s="1299"/>
      <c r="G107" s="1299"/>
      <c r="H107" s="1300"/>
    </row>
    <row r="108" spans="1:8">
      <c r="A108" s="46"/>
      <c r="B108" s="1301"/>
      <c r="C108" s="1302"/>
      <c r="D108" s="1302"/>
      <c r="E108" s="1302"/>
      <c r="F108" s="1302"/>
      <c r="G108" s="1302"/>
      <c r="H108" s="1303"/>
    </row>
    <row r="110" spans="1:8" s="468" customFormat="1" ht="12" customHeight="1">
      <c r="A110" s="447" t="s">
        <v>516</v>
      </c>
      <c r="H110" s="469"/>
    </row>
    <row r="111" spans="1:8" s="468" customFormat="1" ht="12" customHeight="1">
      <c r="A111" s="449" t="s">
        <v>447</v>
      </c>
      <c r="D111" s="1218" t="s">
        <v>890</v>
      </c>
      <c r="E111" s="1216" t="s">
        <v>892</v>
      </c>
      <c r="H111" s="469"/>
    </row>
    <row r="112" spans="1:8" s="468" customFormat="1" ht="12" customHeight="1">
      <c r="A112" s="472" t="s">
        <v>448</v>
      </c>
      <c r="B112" s="204" t="s">
        <v>162</v>
      </c>
      <c r="C112" s="204"/>
      <c r="D112" s="1218" t="s">
        <v>891</v>
      </c>
      <c r="E112" s="473" t="s">
        <v>893</v>
      </c>
      <c r="H112" s="469"/>
    </row>
    <row r="113" spans="1:8" s="468" customFormat="1" ht="12" customHeight="1">
      <c r="A113" s="472" t="s">
        <v>449</v>
      </c>
      <c r="B113" s="204" t="s">
        <v>162</v>
      </c>
      <c r="C113" s="204"/>
      <c r="D113" s="603"/>
      <c r="E113" s="604"/>
      <c r="H113" s="469"/>
    </row>
    <row r="114" spans="1:8" s="468" customFormat="1" ht="12" customHeight="1">
      <c r="A114" s="472" t="s">
        <v>450</v>
      </c>
      <c r="B114" s="449" t="s">
        <v>758</v>
      </c>
      <c r="C114" s="204"/>
      <c r="H114" s="469"/>
    </row>
    <row r="115" spans="1:8" s="468" customFormat="1" ht="12" customHeight="1">
      <c r="A115" s="472" t="s">
        <v>451</v>
      </c>
      <c r="B115" s="204" t="s">
        <v>162</v>
      </c>
      <c r="C115" s="204"/>
      <c r="H115" s="469"/>
    </row>
    <row r="116" spans="1:8" s="468" customFormat="1" ht="12" customHeight="1">
      <c r="A116" s="472" t="s">
        <v>452</v>
      </c>
      <c r="B116" s="449" t="s">
        <v>759</v>
      </c>
      <c r="C116" s="204"/>
      <c r="D116" s="470">
        <v>-5</v>
      </c>
      <c r="E116" s="471" t="s">
        <v>530</v>
      </c>
      <c r="H116" s="469"/>
    </row>
    <row r="117" spans="1:8" s="468" customFormat="1" ht="12" customHeight="1">
      <c r="A117" s="1217" t="s">
        <v>913</v>
      </c>
      <c r="B117" s="474"/>
      <c r="D117" s="470">
        <f>D116-1</f>
        <v>-6</v>
      </c>
      <c r="E117" s="471" t="s">
        <v>696</v>
      </c>
      <c r="H117" s="469"/>
    </row>
    <row r="118" spans="1:8" s="468" customFormat="1" ht="12" customHeight="1">
      <c r="A118" s="472" t="s">
        <v>453</v>
      </c>
      <c r="B118" s="205" t="s">
        <v>145</v>
      </c>
      <c r="C118" s="204"/>
      <c r="D118" s="470">
        <f>D117-1</f>
        <v>-7</v>
      </c>
      <c r="E118" s="471" t="s">
        <v>531</v>
      </c>
      <c r="H118" s="469"/>
    </row>
    <row r="119" spans="1:8" s="468" customFormat="1" ht="12" customHeight="1">
      <c r="A119" s="472" t="s">
        <v>454</v>
      </c>
      <c r="B119" s="449" t="s">
        <v>760</v>
      </c>
      <c r="C119" s="204"/>
      <c r="D119" s="470" t="s">
        <v>458</v>
      </c>
      <c r="E119" s="473" t="s">
        <v>762</v>
      </c>
      <c r="H119" s="469"/>
    </row>
    <row r="120" spans="1:8" s="468" customFormat="1" ht="12" customHeight="1">
      <c r="A120" s="470" t="s">
        <v>455</v>
      </c>
      <c r="B120" s="473" t="s">
        <v>761</v>
      </c>
      <c r="D120" s="470" t="s">
        <v>446</v>
      </c>
      <c r="E120" s="473" t="s">
        <v>763</v>
      </c>
      <c r="H120" s="469"/>
    </row>
    <row r="121" spans="1:8" s="468" customFormat="1" ht="12" customHeight="1">
      <c r="A121" s="765" t="s">
        <v>599</v>
      </c>
      <c r="D121" s="603" t="s">
        <v>459</v>
      </c>
      <c r="E121" s="473" t="s">
        <v>887</v>
      </c>
      <c r="H121" s="469"/>
    </row>
    <row r="122" spans="1:8" s="468" customFormat="1" ht="12" customHeight="1">
      <c r="A122" s="603" t="s">
        <v>449</v>
      </c>
      <c r="B122" s="604" t="s">
        <v>600</v>
      </c>
      <c r="D122" s="470">
        <v>-9</v>
      </c>
      <c r="E122" s="473" t="s">
        <v>764</v>
      </c>
      <c r="H122" s="225"/>
    </row>
    <row r="123" spans="1:8">
      <c r="F123" s="468"/>
    </row>
  </sheetData>
  <sheetProtection sheet="1" objects="1" scenarios="1"/>
  <mergeCells count="13">
    <mergeCell ref="B104:H108"/>
    <mergeCell ref="B102:H103"/>
    <mergeCell ref="B96:H100"/>
    <mergeCell ref="B94:H95"/>
    <mergeCell ref="B88:H92"/>
    <mergeCell ref="D7:G7"/>
    <mergeCell ref="B65:H66"/>
    <mergeCell ref="B86:H87"/>
    <mergeCell ref="B80:H84"/>
    <mergeCell ref="B78:H79"/>
    <mergeCell ref="B69:H71"/>
    <mergeCell ref="B72:H76"/>
    <mergeCell ref="B67:C67"/>
  </mergeCells>
  <conditionalFormatting sqref="H25:H26 H34:H35 H43:H44 H16:H17 D31:F31 D40:F40">
    <cfRule type="expression" dxfId="52" priority="11">
      <formula>D16=""</formula>
    </cfRule>
  </conditionalFormatting>
  <conditionalFormatting sqref="B80">
    <cfRule type="expression" dxfId="51" priority="9">
      <formula>$B$80=""</formula>
    </cfRule>
  </conditionalFormatting>
  <conditionalFormatting sqref="B88">
    <cfRule type="expression" dxfId="50" priority="8">
      <formula>$B$88=""</formula>
    </cfRule>
  </conditionalFormatting>
  <conditionalFormatting sqref="B96">
    <cfRule type="expression" dxfId="49" priority="7">
      <formula>$B$96=""</formula>
    </cfRule>
  </conditionalFormatting>
  <conditionalFormatting sqref="B104">
    <cfRule type="expression" dxfId="48" priority="6">
      <formula>$B$104=""</formula>
    </cfRule>
  </conditionalFormatting>
  <conditionalFormatting sqref="B67:H67">
    <cfRule type="expression" dxfId="47" priority="4">
      <formula>$B$67=$K$66</formula>
    </cfRule>
  </conditionalFormatting>
  <conditionalFormatting sqref="B72:H76">
    <cfRule type="expression" dxfId="46" priority="2">
      <formula>AND($H$17=0,$H$26=0,$B$72="")</formula>
    </cfRule>
  </conditionalFormatting>
  <conditionalFormatting sqref="B69:H71">
    <cfRule type="expression" dxfId="45" priority="1">
      <formula>AND($H$17=0,$H$26=0)</formula>
    </cfRule>
  </conditionalFormatting>
  <dataValidations count="1">
    <dataValidation type="list" allowBlank="1" showInputMessage="1" showErrorMessage="1" sqref="B67">
      <formula1>$K$66:$K$67</formula1>
    </dataValidation>
  </dataValidations>
  <hyperlinks>
    <hyperlink ref="B65" r:id="rId1" display="Tex. Ins. Code § 2251.002"/>
    <hyperlink ref="B65:H66" r:id="rId2" display="Confirm compliance with Tex. Ins. Code § 2251.002, which prohibits the use in rate calculations of certain administrative expenses that exceed 110% of the industry median (shown above under General Expenses)?"/>
    <hyperlink ref="E111" r:id="rId3"/>
  </hyperlinks>
  <printOptions horizontalCentered="1"/>
  <pageMargins left="0.5" right="0.5" top="0.5" bottom="0.5" header="0.3" footer="0.3"/>
  <pageSetup scale="77" orientation="portrait" r:id="rId4"/>
  <headerFooter>
    <oddFooter>&amp;LRevised 3/2013&amp;RPage &amp;P of &amp;N</oddFooter>
  </headerFooter>
  <rowBreaks count="1" manualBreakCount="1">
    <brk id="63" max="16383" man="1"/>
  </rowBreaks>
  <ignoredErrors>
    <ignoredError sqref="D8:F8" unlockedFormula="1"/>
    <ignoredError sqref="D111:D112" numberStoredAsText="1"/>
  </ignoredErrors>
</worksheet>
</file>

<file path=xl/worksheets/sheet22.xml><?xml version="1.0" encoding="utf-8"?>
<worksheet xmlns="http://schemas.openxmlformats.org/spreadsheetml/2006/main" xmlns:r="http://schemas.openxmlformats.org/officeDocument/2006/relationships">
  <sheetPr codeName="Sheet17"/>
  <dimension ref="A1:J92"/>
  <sheetViews>
    <sheetView showGridLines="0" workbookViewId="0">
      <pane ySplit="5" topLeftCell="A6" activePane="bottomLeft" state="frozen"/>
      <selection pane="bottomLeft"/>
    </sheetView>
  </sheetViews>
  <sheetFormatPr defaultRowHeight="15"/>
  <cols>
    <col min="1" max="1" width="4.85546875" style="475" customWidth="1"/>
    <col min="2" max="2" width="24" customWidth="1"/>
    <col min="3" max="3" width="15.7109375" customWidth="1"/>
    <col min="4" max="4" width="14.140625" customWidth="1"/>
    <col min="7" max="7" width="14.140625" customWidth="1"/>
    <col min="10" max="10" width="8.85546875" hidden="1" customWidth="1"/>
  </cols>
  <sheetData>
    <row r="1" spans="1:7" ht="17.25">
      <c r="B1" s="206" t="str">
        <f>'10-Fixed &amp; Variable Expenses'!A1</f>
        <v>Texas Department of Insurance</v>
      </c>
      <c r="G1" s="190" t="str">
        <f xml:space="preserve"> "Home - "&amp;MID(B4,9,2)</f>
        <v>Home - 11</v>
      </c>
    </row>
    <row r="2" spans="1:7" ht="17.25">
      <c r="B2" s="206" t="str">
        <f>'10-Fixed &amp; Variable Expenses'!A2</f>
        <v>Property and Casualty Rate Filing Exhibits</v>
      </c>
    </row>
    <row r="3" spans="1:7">
      <c r="B3" s="226"/>
    </row>
    <row r="4" spans="1:7" ht="15.75">
      <c r="B4" s="486" t="s">
        <v>499</v>
      </c>
      <c r="C4" s="292"/>
      <c r="D4" s="292"/>
      <c r="F4" s="1120" t="s">
        <v>140</v>
      </c>
      <c r="G4" s="1121" t="str">
        <f>'10-Fixed &amp; Variable Expenses'!H4</f>
        <v/>
      </c>
    </row>
    <row r="5" spans="1:7">
      <c r="F5" s="1120" t="s">
        <v>787</v>
      </c>
      <c r="G5" s="1121" t="str">
        <f>'10-Fixed &amp; Variable Expenses'!H5</f>
        <v/>
      </c>
    </row>
    <row r="6" spans="1:7">
      <c r="B6" s="277"/>
    </row>
    <row r="8" spans="1:7">
      <c r="B8" s="1540" t="s">
        <v>542</v>
      </c>
      <c r="C8" s="1541"/>
      <c r="D8" s="476" t="s">
        <v>541</v>
      </c>
    </row>
    <row r="9" spans="1:7">
      <c r="A9" s="157">
        <v>-1</v>
      </c>
      <c r="B9" s="1549" t="s">
        <v>689</v>
      </c>
      <c r="C9" s="1550"/>
      <c r="D9" s="767"/>
    </row>
    <row r="10" spans="1:7">
      <c r="A10" s="157">
        <f>A9-1</f>
        <v>-2</v>
      </c>
      <c r="B10" s="1545" t="s">
        <v>536</v>
      </c>
      <c r="C10" s="1546"/>
      <c r="D10" s="766"/>
    </row>
    <row r="11" spans="1:7" s="475" customFormat="1">
      <c r="A11" s="157">
        <f t="shared" ref="A11:A17" si="0">A10-1</f>
        <v>-3</v>
      </c>
      <c r="B11" s="1547" t="s">
        <v>538</v>
      </c>
      <c r="C11" s="1548"/>
      <c r="D11" s="768"/>
    </row>
    <row r="12" spans="1:7" s="609" customFormat="1">
      <c r="A12" s="157">
        <f t="shared" si="0"/>
        <v>-4</v>
      </c>
      <c r="B12" s="1545" t="str">
        <f>IF('8-Modeled Cat'!B69='8-Modeled Cat'!K69,"Modeled Losses Gross of Recoverables",IF('8-Modeled Cat'!B69='8-Modeled Cat'!K68,"Modeled Losses Net of Recoverables","Modeled Losses from Exhibit 8"))</f>
        <v>Modeled Losses from Exhibit 8</v>
      </c>
      <c r="C12" s="1546"/>
      <c r="D12" s="580">
        <f>'8-Modeled Cat'!D66</f>
        <v>0</v>
      </c>
      <c r="E12" s="1008" t="str">
        <f>IF('8-Modeled Cat'!B69='8-Modeled Cat'!K69,IF(ROUND('11-Reinsurance'!D12,0)=ROUND('11-Reinsurance'!D10,0)+ROUND('11-Reinsurance'!D11,0),"  Match Confirmed","  Does Not Match (2) + (3)!"),IF('8-Modeled Cat'!B69='8-Modeled Cat'!K68,IF(ROUND('11-Reinsurance'!D12,0)=ROUND('11-Reinsurance'!D11,0),"  Match Confirmed","  Does Not Match (3)!"),"  Does Not Match"))</f>
        <v xml:space="preserve">  Does Not Match</v>
      </c>
    </row>
    <row r="13" spans="1:7">
      <c r="A13" s="157">
        <f>A12-1</f>
        <v>-5</v>
      </c>
      <c r="B13" s="1547" t="str">
        <f>IF('8-Modeled Cat'!B69='8-Modeled Cat'!K69,"Cost of Reinsurance","Net Cost of Reinsurance")</f>
        <v>Net Cost of Reinsurance</v>
      </c>
      <c r="C13" s="1548"/>
      <c r="D13" s="581">
        <f>IF('8-Modeled Cat'!B69='8-Modeled Cat'!K68,D9,D9-D10)</f>
        <v>0</v>
      </c>
    </row>
    <row r="14" spans="1:7">
      <c r="A14" s="157">
        <f t="shared" si="0"/>
        <v>-6</v>
      </c>
      <c r="B14" s="1545" t="s">
        <v>3</v>
      </c>
      <c r="C14" s="1546"/>
      <c r="D14" s="766"/>
    </row>
    <row r="15" spans="1:7" s="609" customFormat="1">
      <c r="A15" s="157">
        <f t="shared" si="0"/>
        <v>-7</v>
      </c>
      <c r="B15" s="1547" t="str">
        <f>IF('8-Modeled Cat'!B69='8-Modeled Cat'!K69,"Cost of Reinsurance Expense Load","Net Cost of Reinsurance Expense Load")</f>
        <v>Net Cost of Reinsurance Expense Load</v>
      </c>
      <c r="C15" s="1548"/>
      <c r="D15" s="128">
        <f>IFERROR(D13/D14,0)</f>
        <v>0</v>
      </c>
    </row>
    <row r="16" spans="1:7">
      <c r="A16" s="157">
        <f t="shared" si="0"/>
        <v>-8</v>
      </c>
      <c r="B16" s="1545" t="str">
        <f>IF('8-Modeled Cat'!B69='8-Modeled Cat'!K69,"Selected Fixed Cost of Reinsurance","Selected Fixed Net Cost of Reinsurance")</f>
        <v>Selected Fixed Net Cost of Reinsurance</v>
      </c>
      <c r="C16" s="1546"/>
      <c r="D16" s="689"/>
    </row>
    <row r="17" spans="1:8">
      <c r="A17" s="157">
        <f t="shared" si="0"/>
        <v>-9</v>
      </c>
      <c r="B17" s="1543" t="str">
        <f>IF('8-Modeled Cat'!B69='8-Modeled Cat'!K69,"Selected Variable Cost of Reinsurance","Selected Variable Net Cost of Reinsurance")</f>
        <v>Selected Variable Net Cost of Reinsurance</v>
      </c>
      <c r="C17" s="1544"/>
      <c r="D17" s="769"/>
    </row>
    <row r="18" spans="1:8" s="475" customFormat="1">
      <c r="H18" s="293"/>
    </row>
    <row r="19" spans="1:8" s="963" customFormat="1" ht="14.45" customHeight="1">
      <c r="A19" s="157">
        <f>A17-1</f>
        <v>-10</v>
      </c>
      <c r="B19" s="1551" t="s">
        <v>845</v>
      </c>
      <c r="C19" s="1552"/>
      <c r="D19" s="1552"/>
      <c r="E19" s="1552"/>
      <c r="F19" s="1552"/>
      <c r="G19" s="1553"/>
      <c r="H19" s="1134"/>
    </row>
    <row r="20" spans="1:8" s="963" customFormat="1">
      <c r="B20" s="1554"/>
      <c r="C20" s="1555"/>
      <c r="D20" s="1555"/>
      <c r="E20" s="1555"/>
      <c r="F20" s="1555"/>
      <c r="G20" s="1556"/>
      <c r="H20" s="1134"/>
    </row>
    <row r="21" spans="1:8" s="963" customFormat="1">
      <c r="B21" s="1557"/>
      <c r="C21" s="1558"/>
      <c r="D21" s="1558"/>
      <c r="E21" s="1558"/>
      <c r="F21" s="1558"/>
      <c r="G21" s="1559"/>
      <c r="H21" s="1134"/>
    </row>
    <row r="22" spans="1:8" s="963" customFormat="1">
      <c r="B22" s="1422"/>
      <c r="C22" s="1423"/>
      <c r="D22" s="1423"/>
      <c r="E22" s="1423"/>
      <c r="F22" s="1423"/>
      <c r="G22" s="1424"/>
      <c r="H22" s="1135"/>
    </row>
    <row r="23" spans="1:8" s="963" customFormat="1">
      <c r="B23" s="1560"/>
      <c r="C23" s="1561"/>
      <c r="D23" s="1561"/>
      <c r="E23" s="1561"/>
      <c r="F23" s="1561"/>
      <c r="G23" s="1562"/>
      <c r="H23" s="1135"/>
    </row>
    <row r="24" spans="1:8" s="963" customFormat="1">
      <c r="B24" s="1560"/>
      <c r="C24" s="1561"/>
      <c r="D24" s="1561"/>
      <c r="E24" s="1561"/>
      <c r="F24" s="1561"/>
      <c r="G24" s="1562"/>
      <c r="H24" s="1135"/>
    </row>
    <row r="25" spans="1:8" s="963" customFormat="1">
      <c r="B25" s="1560"/>
      <c r="C25" s="1561"/>
      <c r="D25" s="1561"/>
      <c r="E25" s="1561"/>
      <c r="F25" s="1561"/>
      <c r="G25" s="1562"/>
      <c r="H25" s="1135"/>
    </row>
    <row r="26" spans="1:8" s="963" customFormat="1">
      <c r="B26" s="1425"/>
      <c r="C26" s="1426"/>
      <c r="D26" s="1426"/>
      <c r="E26" s="1426"/>
      <c r="F26" s="1426"/>
      <c r="G26" s="1427"/>
      <c r="H26" s="1135"/>
    </row>
    <row r="27" spans="1:8" s="963" customFormat="1">
      <c r="H27" s="293"/>
    </row>
    <row r="28" spans="1:8" s="475" customFormat="1">
      <c r="A28" s="157">
        <f>A19-1</f>
        <v>-11</v>
      </c>
      <c r="B28" s="847" t="s">
        <v>539</v>
      </c>
      <c r="C28" s="811"/>
      <c r="D28" s="811"/>
      <c r="E28" s="811"/>
      <c r="F28" s="811"/>
      <c r="G28" s="812"/>
    </row>
    <row r="29" spans="1:8" s="475" customFormat="1">
      <c r="B29" s="1362"/>
      <c r="C29" s="1363"/>
      <c r="D29" s="1363"/>
      <c r="E29" s="1363"/>
      <c r="F29" s="1363"/>
      <c r="G29" s="1364"/>
    </row>
    <row r="30" spans="1:8" s="475" customFormat="1">
      <c r="B30" s="1298"/>
      <c r="C30" s="1299"/>
      <c r="D30" s="1299"/>
      <c r="E30" s="1299"/>
      <c r="F30" s="1299"/>
      <c r="G30" s="1300"/>
    </row>
    <row r="31" spans="1:8" s="963" customFormat="1">
      <c r="B31" s="1298"/>
      <c r="C31" s="1299"/>
      <c r="D31" s="1299"/>
      <c r="E31" s="1299"/>
      <c r="F31" s="1299"/>
      <c r="G31" s="1300"/>
    </row>
    <row r="32" spans="1:8" s="963" customFormat="1">
      <c r="B32" s="1298"/>
      <c r="C32" s="1299"/>
      <c r="D32" s="1299"/>
      <c r="E32" s="1299"/>
      <c r="F32" s="1299"/>
      <c r="G32" s="1300"/>
    </row>
    <row r="33" spans="1:10" s="475" customFormat="1">
      <c r="B33" s="1298"/>
      <c r="C33" s="1299"/>
      <c r="D33" s="1299"/>
      <c r="E33" s="1299"/>
      <c r="F33" s="1299"/>
      <c r="G33" s="1300"/>
    </row>
    <row r="34" spans="1:10" s="475" customFormat="1">
      <c r="B34" s="1298"/>
      <c r="C34" s="1299"/>
      <c r="D34" s="1299"/>
      <c r="E34" s="1299"/>
      <c r="F34" s="1299"/>
      <c r="G34" s="1300"/>
    </row>
    <row r="35" spans="1:10" s="475" customFormat="1">
      <c r="B35" s="1301"/>
      <c r="C35" s="1302"/>
      <c r="D35" s="1302"/>
      <c r="E35" s="1302"/>
      <c r="F35" s="1302"/>
      <c r="G35" s="1303"/>
    </row>
    <row r="36" spans="1:10" ht="14.45" customHeight="1"/>
    <row r="37" spans="1:10" s="475" customFormat="1" ht="14.45" customHeight="1">
      <c r="A37" s="157">
        <f>A28-1</f>
        <v>-12</v>
      </c>
      <c r="B37" s="1411" t="s">
        <v>895</v>
      </c>
      <c r="C37" s="1412"/>
      <c r="D37" s="1412"/>
      <c r="E37" s="1412"/>
      <c r="F37" s="1412"/>
      <c r="G37" s="1413"/>
      <c r="J37" s="621"/>
    </row>
    <row r="38" spans="1:10" ht="14.45" customHeight="1">
      <c r="A38" s="481"/>
      <c r="B38" s="1563"/>
      <c r="C38" s="1564"/>
      <c r="D38" s="1564"/>
      <c r="E38" s="1564"/>
      <c r="F38" s="1564"/>
      <c r="G38" s="1565"/>
    </row>
    <row r="39" spans="1:10">
      <c r="A39" s="481"/>
      <c r="B39" s="1183" t="s">
        <v>111</v>
      </c>
      <c r="C39" s="1184"/>
      <c r="D39" s="1184"/>
      <c r="E39" s="1184"/>
      <c r="F39" s="1184"/>
      <c r="G39" s="1185"/>
    </row>
    <row r="40" spans="1:10" ht="14.45" customHeight="1">
      <c r="A40" s="891"/>
      <c r="B40" s="1554" t="s">
        <v>834</v>
      </c>
      <c r="C40" s="1555"/>
      <c r="D40" s="1555"/>
      <c r="E40" s="1555"/>
      <c r="F40" s="1555"/>
      <c r="G40" s="1556"/>
      <c r="J40" s="621"/>
    </row>
    <row r="41" spans="1:10">
      <c r="B41" s="1554"/>
      <c r="C41" s="1555"/>
      <c r="D41" s="1555"/>
      <c r="E41" s="1555"/>
      <c r="F41" s="1555"/>
      <c r="G41" s="1556"/>
    </row>
    <row r="42" spans="1:10">
      <c r="A42" s="481"/>
      <c r="B42" s="1542"/>
      <c r="C42" s="1542"/>
      <c r="D42" s="1542"/>
      <c r="E42" s="1542"/>
      <c r="F42" s="1542"/>
      <c r="G42" s="1542"/>
    </row>
    <row r="43" spans="1:10">
      <c r="A43" s="481"/>
      <c r="B43" s="1467"/>
      <c r="C43" s="1467"/>
      <c r="D43" s="1467"/>
      <c r="E43" s="1467"/>
      <c r="F43" s="1467"/>
      <c r="G43" s="1467"/>
    </row>
    <row r="44" spans="1:10" s="475" customFormat="1">
      <c r="A44" s="481"/>
      <c r="B44" s="1467"/>
      <c r="C44" s="1467"/>
      <c r="D44" s="1467"/>
      <c r="E44" s="1467"/>
      <c r="F44" s="1467"/>
      <c r="G44" s="1467"/>
    </row>
    <row r="45" spans="1:10" s="497" customFormat="1">
      <c r="B45" s="1467"/>
      <c r="C45" s="1467"/>
      <c r="D45" s="1467"/>
      <c r="E45" s="1467"/>
      <c r="F45" s="1467"/>
      <c r="G45" s="1467"/>
    </row>
    <row r="46" spans="1:10" s="497" customFormat="1">
      <c r="B46" s="1467"/>
      <c r="C46" s="1467"/>
      <c r="D46" s="1467"/>
      <c r="E46" s="1467"/>
      <c r="F46" s="1467"/>
      <c r="G46" s="1467"/>
    </row>
    <row r="47" spans="1:10" s="497" customFormat="1">
      <c r="B47" s="1467"/>
      <c r="C47" s="1467"/>
      <c r="D47" s="1467"/>
      <c r="E47" s="1467"/>
      <c r="F47" s="1467"/>
      <c r="G47" s="1467"/>
    </row>
    <row r="48" spans="1:10" s="481" customFormat="1">
      <c r="B48" s="1467"/>
      <c r="C48" s="1467"/>
      <c r="D48" s="1467"/>
      <c r="E48" s="1467"/>
      <c r="F48" s="1467"/>
      <c r="G48" s="1467"/>
    </row>
    <row r="49" spans="1:10" s="475" customFormat="1"/>
    <row r="50" spans="1:10">
      <c r="A50" s="157">
        <f>A37-1</f>
        <v>-13</v>
      </c>
      <c r="B50" s="847" t="s">
        <v>534</v>
      </c>
      <c r="C50" s="811"/>
      <c r="D50" s="811"/>
      <c r="E50" s="811"/>
      <c r="F50" s="811"/>
      <c r="G50" s="812"/>
    </row>
    <row r="51" spans="1:10" s="475" customFormat="1">
      <c r="B51" s="1362"/>
      <c r="C51" s="1363"/>
      <c r="D51" s="1363"/>
      <c r="E51" s="1363"/>
      <c r="F51" s="1363"/>
      <c r="G51" s="1364"/>
    </row>
    <row r="52" spans="1:10" s="475" customFormat="1">
      <c r="B52" s="1298"/>
      <c r="C52" s="1299"/>
      <c r="D52" s="1299"/>
      <c r="E52" s="1299"/>
      <c r="F52" s="1299"/>
      <c r="G52" s="1300"/>
    </row>
    <row r="53" spans="1:10" s="475" customFormat="1">
      <c r="B53" s="1298"/>
      <c r="C53" s="1299"/>
      <c r="D53" s="1299"/>
      <c r="E53" s="1299"/>
      <c r="F53" s="1299"/>
      <c r="G53" s="1300"/>
    </row>
    <row r="54" spans="1:10" s="475" customFormat="1">
      <c r="B54" s="1298"/>
      <c r="C54" s="1299"/>
      <c r="D54" s="1299"/>
      <c r="E54" s="1299"/>
      <c r="F54" s="1299"/>
      <c r="G54" s="1300"/>
    </row>
    <row r="55" spans="1:10">
      <c r="B55" s="1298"/>
      <c r="C55" s="1299"/>
      <c r="D55" s="1299"/>
      <c r="E55" s="1299"/>
      <c r="F55" s="1299"/>
      <c r="G55" s="1300"/>
    </row>
    <row r="56" spans="1:10" s="475" customFormat="1">
      <c r="B56" s="1298"/>
      <c r="C56" s="1299"/>
      <c r="D56" s="1299"/>
      <c r="E56" s="1299"/>
      <c r="F56" s="1299"/>
      <c r="G56" s="1300"/>
    </row>
    <row r="57" spans="1:10" s="475" customFormat="1">
      <c r="B57" s="1298"/>
      <c r="C57" s="1299"/>
      <c r="D57" s="1299"/>
      <c r="E57" s="1299"/>
      <c r="F57" s="1299"/>
      <c r="G57" s="1300"/>
    </row>
    <row r="58" spans="1:10" s="475" customFormat="1">
      <c r="B58" s="1301"/>
      <c r="C58" s="1302"/>
      <c r="D58" s="1302"/>
      <c r="E58" s="1302"/>
      <c r="F58" s="1302"/>
      <c r="G58" s="1303"/>
    </row>
    <row r="60" spans="1:10" s="475" customFormat="1">
      <c r="A60" s="157">
        <f>A50-1</f>
        <v>-14</v>
      </c>
      <c r="B60" s="1569" t="s">
        <v>896</v>
      </c>
      <c r="C60" s="1570"/>
      <c r="D60" s="1570"/>
      <c r="E60" s="1570"/>
      <c r="F60" s="1570"/>
      <c r="G60" s="1571"/>
      <c r="J60" s="963" t="s">
        <v>111</v>
      </c>
    </row>
    <row r="61" spans="1:10" s="475" customFormat="1">
      <c r="A61" s="157"/>
      <c r="B61" s="1188" t="s">
        <v>111</v>
      </c>
      <c r="C61" s="1186"/>
      <c r="D61" s="1186"/>
      <c r="E61" s="1186"/>
      <c r="F61" s="1186"/>
      <c r="G61" s="1187"/>
      <c r="J61" s="963" t="s">
        <v>167</v>
      </c>
    </row>
    <row r="62" spans="1:10" s="475" customFormat="1">
      <c r="B62" s="1566" t="s">
        <v>535</v>
      </c>
      <c r="C62" s="1567"/>
      <c r="D62" s="1567"/>
      <c r="E62" s="1567"/>
      <c r="F62" s="1567"/>
      <c r="G62" s="1568"/>
      <c r="J62" s="963" t="s">
        <v>168</v>
      </c>
    </row>
    <row r="63" spans="1:10" s="475" customFormat="1">
      <c r="A63" s="481"/>
      <c r="B63" s="1362"/>
      <c r="C63" s="1363"/>
      <c r="D63" s="1363"/>
      <c r="E63" s="1363"/>
      <c r="F63" s="1363"/>
      <c r="G63" s="1364"/>
    </row>
    <row r="64" spans="1:10">
      <c r="A64" s="481"/>
      <c r="B64" s="1298"/>
      <c r="C64" s="1299"/>
      <c r="D64" s="1299"/>
      <c r="E64" s="1299"/>
      <c r="F64" s="1299"/>
      <c r="G64" s="1300"/>
    </row>
    <row r="65" spans="1:7" s="475" customFormat="1">
      <c r="A65" s="481"/>
      <c r="B65" s="1298"/>
      <c r="C65" s="1299"/>
      <c r="D65" s="1299"/>
      <c r="E65" s="1299"/>
      <c r="F65" s="1299"/>
      <c r="G65" s="1300"/>
    </row>
    <row r="66" spans="1:7" s="475" customFormat="1">
      <c r="A66" s="481"/>
      <c r="B66" s="1298"/>
      <c r="C66" s="1299"/>
      <c r="D66" s="1299"/>
      <c r="E66" s="1299"/>
      <c r="F66" s="1299"/>
      <c r="G66" s="1300"/>
    </row>
    <row r="67" spans="1:7" s="475" customFormat="1">
      <c r="A67" s="481"/>
      <c r="B67" s="1298"/>
      <c r="C67" s="1299"/>
      <c r="D67" s="1299"/>
      <c r="E67" s="1299"/>
      <c r="F67" s="1299"/>
      <c r="G67" s="1300"/>
    </row>
    <row r="68" spans="1:7" s="475" customFormat="1" ht="14.45" customHeight="1">
      <c r="A68" s="481"/>
      <c r="B68" s="1298"/>
      <c r="C68" s="1299"/>
      <c r="D68" s="1299"/>
      <c r="E68" s="1299"/>
      <c r="F68" s="1299"/>
      <c r="G68" s="1300"/>
    </row>
    <row r="69" spans="1:7" s="475" customFormat="1">
      <c r="A69" s="481"/>
      <c r="B69" s="1298"/>
      <c r="C69" s="1299"/>
      <c r="D69" s="1299"/>
      <c r="E69" s="1299"/>
      <c r="F69" s="1299"/>
      <c r="G69" s="1300"/>
    </row>
    <row r="70" spans="1:7" s="963" customFormat="1">
      <c r="A70" s="481"/>
      <c r="B70" s="1301"/>
      <c r="C70" s="1302"/>
      <c r="D70" s="1302"/>
      <c r="E70" s="1302"/>
      <c r="F70" s="1302"/>
      <c r="G70" s="1303"/>
    </row>
    <row r="71" spans="1:7" s="963" customFormat="1">
      <c r="B71" s="1031"/>
      <c r="C71" s="1031"/>
      <c r="D71" s="1031"/>
      <c r="E71" s="1031"/>
      <c r="F71" s="1031"/>
      <c r="G71" s="1031"/>
    </row>
    <row r="72" spans="1:7" s="963" customFormat="1">
      <c r="B72" s="1031"/>
      <c r="C72" s="1031"/>
      <c r="D72" s="1031"/>
      <c r="E72" s="1031"/>
      <c r="F72" s="1031"/>
      <c r="G72" s="1031"/>
    </row>
    <row r="73" spans="1:7" s="963" customFormat="1">
      <c r="B73" s="1031"/>
      <c r="C73" s="1031"/>
      <c r="D73" s="1031"/>
      <c r="E73" s="1031"/>
      <c r="F73" s="1031"/>
      <c r="G73" s="1031"/>
    </row>
    <row r="74" spans="1:7" s="963" customFormat="1">
      <c r="B74" s="1031"/>
      <c r="C74" s="1031"/>
      <c r="D74" s="1031"/>
      <c r="E74" s="1031"/>
      <c r="F74" s="1031"/>
      <c r="G74" s="1031"/>
    </row>
    <row r="75" spans="1:7" s="963" customFormat="1">
      <c r="B75" s="1031"/>
      <c r="C75" s="1031"/>
      <c r="D75" s="1031"/>
      <c r="E75" s="1031"/>
      <c r="F75" s="1031"/>
      <c r="G75" s="1031"/>
    </row>
    <row r="76" spans="1:7" s="963" customFormat="1">
      <c r="B76" s="1031"/>
      <c r="C76" s="1031"/>
      <c r="D76" s="1031"/>
      <c r="E76" s="1031"/>
      <c r="F76" s="1031"/>
      <c r="G76" s="1031"/>
    </row>
    <row r="77" spans="1:7" s="963" customFormat="1">
      <c r="B77" s="1031"/>
      <c r="C77" s="1031"/>
      <c r="D77" s="1031"/>
      <c r="E77" s="1031"/>
      <c r="F77" s="1031"/>
      <c r="G77" s="1031"/>
    </row>
    <row r="78" spans="1:7" s="963" customFormat="1">
      <c r="B78" s="1031"/>
      <c r="C78" s="1031"/>
      <c r="D78" s="1031"/>
      <c r="E78" s="1031"/>
      <c r="F78" s="1031"/>
      <c r="G78" s="1031"/>
    </row>
    <row r="79" spans="1:7" s="963" customFormat="1">
      <c r="B79" s="1031"/>
      <c r="C79" s="1031"/>
      <c r="D79" s="1031"/>
      <c r="E79" s="1031"/>
      <c r="F79" s="1031"/>
      <c r="G79" s="1031"/>
    </row>
    <row r="80" spans="1:7" s="475" customFormat="1">
      <c r="A80" s="963"/>
      <c r="B80" s="1031"/>
      <c r="C80" s="1031"/>
      <c r="D80" s="1031"/>
      <c r="E80" s="1031"/>
      <c r="F80" s="1031"/>
      <c r="G80" s="1031"/>
    </row>
    <row r="81" spans="1:7">
      <c r="B81" s="475"/>
      <c r="C81" s="475"/>
      <c r="D81" s="475"/>
      <c r="E81" s="475"/>
      <c r="F81" s="475"/>
      <c r="G81" s="475"/>
    </row>
    <row r="82" spans="1:7" s="204" customFormat="1" ht="12" customHeight="1">
      <c r="A82" s="475"/>
      <c r="B82"/>
      <c r="C82"/>
      <c r="D82"/>
      <c r="E82"/>
      <c r="F82"/>
      <c r="G82"/>
    </row>
    <row r="83" spans="1:7" s="204" customFormat="1" ht="12" customHeight="1">
      <c r="A83" s="447" t="s">
        <v>516</v>
      </c>
    </row>
    <row r="84" spans="1:7" s="204" customFormat="1" ht="12" customHeight="1">
      <c r="A84" s="448">
        <f>A9</f>
        <v>-1</v>
      </c>
      <c r="B84" s="205" t="s">
        <v>145</v>
      </c>
    </row>
    <row r="85" spans="1:7" s="204" customFormat="1" ht="12" customHeight="1">
      <c r="A85" s="448">
        <f>A84-1</f>
        <v>-2</v>
      </c>
      <c r="B85" s="205" t="s">
        <v>145</v>
      </c>
    </row>
    <row r="86" spans="1:7" s="204" customFormat="1" ht="12" customHeight="1">
      <c r="A86" s="448">
        <f t="shared" ref="A86" si="1">A85-1</f>
        <v>-3</v>
      </c>
      <c r="B86" s="205" t="s">
        <v>145</v>
      </c>
    </row>
    <row r="87" spans="1:7" s="204" customFormat="1" ht="12" customHeight="1">
      <c r="A87" s="448">
        <f>A86-1</f>
        <v>-4</v>
      </c>
      <c r="B87" s="449" t="s">
        <v>897</v>
      </c>
    </row>
    <row r="88" spans="1:7" s="204" customFormat="1" ht="12" customHeight="1">
      <c r="A88" s="448">
        <f t="shared" ref="A88:A92" si="2">A87-1</f>
        <v>-5</v>
      </c>
      <c r="B88" s="449" t="str">
        <f>IF('8-Modeled Cat'!B69="Gross","= (1)","= (1) - (2)")</f>
        <v>= (1) - (2)</v>
      </c>
    </row>
    <row r="89" spans="1:7" s="204" customFormat="1" ht="12" customHeight="1">
      <c r="A89" s="448">
        <f t="shared" si="2"/>
        <v>-6</v>
      </c>
      <c r="B89" s="205" t="s">
        <v>145</v>
      </c>
    </row>
    <row r="90" spans="1:7" s="204" customFormat="1" ht="12" customHeight="1">
      <c r="A90" s="448">
        <f t="shared" si="2"/>
        <v>-7</v>
      </c>
      <c r="B90" s="449" t="s">
        <v>765</v>
      </c>
    </row>
    <row r="91" spans="1:7" s="204" customFormat="1" ht="12" customHeight="1">
      <c r="A91" s="448">
        <f t="shared" si="2"/>
        <v>-8</v>
      </c>
      <c r="B91" s="205" t="s">
        <v>145</v>
      </c>
    </row>
    <row r="92" spans="1:7" ht="12" customHeight="1">
      <c r="A92" s="448">
        <f t="shared" si="2"/>
        <v>-9</v>
      </c>
      <c r="B92" s="205" t="s">
        <v>145</v>
      </c>
      <c r="C92" s="204"/>
      <c r="D92" s="204"/>
      <c r="E92" s="204"/>
      <c r="F92" s="204"/>
      <c r="G92" s="204"/>
    </row>
  </sheetData>
  <sheetProtection sheet="1" objects="1" scenarios="1"/>
  <mergeCells count="20">
    <mergeCell ref="B63:G70"/>
    <mergeCell ref="B29:G35"/>
    <mergeCell ref="B51:G58"/>
    <mergeCell ref="B37:G38"/>
    <mergeCell ref="B62:G62"/>
    <mergeCell ref="B40:G41"/>
    <mergeCell ref="B60:G60"/>
    <mergeCell ref="B8:C8"/>
    <mergeCell ref="B42:G48"/>
    <mergeCell ref="B17:C17"/>
    <mergeCell ref="B16:C16"/>
    <mergeCell ref="B15:C15"/>
    <mergeCell ref="B14:C14"/>
    <mergeCell ref="B13:C13"/>
    <mergeCell ref="B12:C12"/>
    <mergeCell ref="B11:C11"/>
    <mergeCell ref="B10:C10"/>
    <mergeCell ref="B9:C9"/>
    <mergeCell ref="B19:G21"/>
    <mergeCell ref="B22:G26"/>
  </mergeCells>
  <conditionalFormatting sqref="D14 D17 D9:D11 D16">
    <cfRule type="expression" dxfId="44" priority="10">
      <formula>$D9=""</formula>
    </cfRule>
  </conditionalFormatting>
  <conditionalFormatting sqref="B51:G58 B29:G35">
    <cfRule type="expression" dxfId="43" priority="9">
      <formula>$B29=""</formula>
    </cfRule>
  </conditionalFormatting>
  <conditionalFormatting sqref="B42">
    <cfRule type="expression" dxfId="42" priority="15">
      <formula>AND($B$39=$J$62,$B$42="")</formula>
    </cfRule>
  </conditionalFormatting>
  <conditionalFormatting sqref="B63">
    <cfRule type="expression" dxfId="41" priority="16">
      <formula>AND($B$61=$J$61,$B$63="")</formula>
    </cfRule>
  </conditionalFormatting>
  <conditionalFormatting sqref="B61:G61">
    <cfRule type="expression" dxfId="40" priority="19">
      <formula>$B$61=$J$60</formula>
    </cfRule>
  </conditionalFormatting>
  <conditionalFormatting sqref="B40">
    <cfRule type="expression" dxfId="39" priority="22">
      <formula>$B$39=$J$62</formula>
    </cfRule>
  </conditionalFormatting>
  <conditionalFormatting sqref="B22">
    <cfRule type="expression" dxfId="38" priority="2">
      <formula>AND($D$17&gt;0,$B$22="")</formula>
    </cfRule>
  </conditionalFormatting>
  <conditionalFormatting sqref="B19">
    <cfRule type="expression" dxfId="37" priority="1">
      <formula>$D$17&gt;0</formula>
    </cfRule>
  </conditionalFormatting>
  <conditionalFormatting sqref="B62">
    <cfRule type="expression" dxfId="36" priority="28">
      <formula>$B$61=$J$61</formula>
    </cfRule>
  </conditionalFormatting>
  <conditionalFormatting sqref="B39:G39">
    <cfRule type="expression" dxfId="35" priority="29">
      <formula>$B$39="Select"</formula>
    </cfRule>
  </conditionalFormatting>
  <dataValidations count="1">
    <dataValidation type="list" allowBlank="1" showInputMessage="1" showErrorMessage="1" sqref="B39 B61 G61">
      <formula1>$J$60:$J$62</formula1>
    </dataValidation>
  </dataValidations>
  <printOptions horizontalCentered="1"/>
  <pageMargins left="0.5" right="0.5" top="0.5" bottom="0.5" header="0.3" footer="0.3"/>
  <pageSetup scale="98" orientation="portrait" r:id="rId1"/>
  <headerFooter>
    <oddFooter>&amp;LRevised 3/2013&amp;RPage &amp;P of &amp;N</oddFooter>
  </headerFooter>
  <rowBreaks count="1" manualBreakCount="1">
    <brk id="48" max="6" man="1"/>
  </rowBreaks>
</worksheet>
</file>

<file path=xl/worksheets/sheet23.xml><?xml version="1.0" encoding="utf-8"?>
<worksheet xmlns="http://schemas.openxmlformats.org/spreadsheetml/2006/main" xmlns:r="http://schemas.openxmlformats.org/officeDocument/2006/relationships">
  <sheetPr codeName="Sheet18">
    <pageSetUpPr fitToPage="1"/>
  </sheetPr>
  <dimension ref="A1:I62"/>
  <sheetViews>
    <sheetView showGridLines="0" workbookViewId="0">
      <pane ySplit="6" topLeftCell="A7" activePane="bottomLeft" state="frozen"/>
      <selection pane="bottomLeft"/>
    </sheetView>
  </sheetViews>
  <sheetFormatPr defaultColWidth="8.85546875" defaultRowHeight="15"/>
  <cols>
    <col min="1" max="1" width="4" style="576" customWidth="1"/>
    <col min="2" max="2" width="16" style="576" customWidth="1"/>
    <col min="3" max="3" width="5.7109375" style="576" customWidth="1"/>
    <col min="4" max="4" width="28.42578125" style="576" customWidth="1"/>
    <col min="5" max="5" width="15.28515625" style="576" customWidth="1"/>
    <col min="6" max="6" width="8.85546875" style="576"/>
    <col min="7" max="7" width="14.140625" style="576" customWidth="1"/>
    <col min="8" max="8" width="8.85546875" style="576"/>
    <col min="9" max="9" width="8.85546875" style="576" hidden="1" customWidth="1"/>
    <col min="10" max="16384" width="8.85546875" style="576"/>
  </cols>
  <sheetData>
    <row r="1" spans="1:7" ht="17.25">
      <c r="B1" s="206" t="str">
        <f>'11-Reinsurance'!B1</f>
        <v>Texas Department of Insurance</v>
      </c>
      <c r="G1" s="190" t="str">
        <f xml:space="preserve"> "Home - "&amp;MID(B4,9,2)</f>
        <v>Home - 12</v>
      </c>
    </row>
    <row r="2" spans="1:7" ht="17.25">
      <c r="B2" s="206" t="str">
        <f>'11-Reinsurance'!B2</f>
        <v>Property and Casualty Rate Filing Exhibits</v>
      </c>
    </row>
    <row r="3" spans="1:7">
      <c r="B3" s="226"/>
    </row>
    <row r="4" spans="1:7" ht="15.75">
      <c r="B4" s="188" t="s">
        <v>552</v>
      </c>
      <c r="C4" s="347"/>
      <c r="D4" s="290"/>
      <c r="F4" s="1120" t="s">
        <v>140</v>
      </c>
      <c r="G4" s="1121" t="str">
        <f>'11-Reinsurance'!G4</f>
        <v/>
      </c>
    </row>
    <row r="5" spans="1:7">
      <c r="F5" s="1120" t="s">
        <v>787</v>
      </c>
      <c r="G5" s="1121" t="str">
        <f>'11-Reinsurance'!G5</f>
        <v/>
      </c>
    </row>
    <row r="6" spans="1:7">
      <c r="B6" s="277"/>
    </row>
    <row r="7" spans="1:7">
      <c r="B7" s="277"/>
    </row>
    <row r="8" spans="1:7">
      <c r="B8" s="1280" t="s">
        <v>542</v>
      </c>
      <c r="C8" s="1280"/>
      <c r="D8" s="1280"/>
      <c r="E8" s="476" t="s">
        <v>541</v>
      </c>
    </row>
    <row r="9" spans="1:7">
      <c r="A9" s="157">
        <f>-1</f>
        <v>-1</v>
      </c>
      <c r="B9" s="593" t="s">
        <v>553</v>
      </c>
      <c r="C9" s="594"/>
      <c r="D9" s="594"/>
      <c r="E9" s="770"/>
    </row>
    <row r="10" spans="1:7">
      <c r="A10" s="157">
        <f>A9-1</f>
        <v>-2</v>
      </c>
      <c r="B10" s="592" t="s">
        <v>554</v>
      </c>
      <c r="C10" s="591"/>
      <c r="D10" s="591"/>
      <c r="E10" s="771"/>
    </row>
    <row r="11" spans="1:7">
      <c r="A11" s="157">
        <f>A10-1</f>
        <v>-3</v>
      </c>
      <c r="B11" s="488" t="s">
        <v>555</v>
      </c>
      <c r="C11" s="595"/>
      <c r="D11" s="595"/>
      <c r="E11" s="128">
        <f>E10*E9</f>
        <v>0</v>
      </c>
    </row>
    <row r="12" spans="1:7" ht="15" customHeight="1">
      <c r="A12" s="587">
        <f t="shared" ref="A12:A24" si="0">A11-1</f>
        <v>-4</v>
      </c>
      <c r="B12" s="1574" t="s">
        <v>556</v>
      </c>
      <c r="C12" s="1575"/>
      <c r="D12" s="1575"/>
      <c r="E12" s="772"/>
    </row>
    <row r="13" spans="1:7">
      <c r="A13" s="157">
        <f t="shared" si="0"/>
        <v>-5</v>
      </c>
      <c r="B13" s="574" t="s">
        <v>557</v>
      </c>
      <c r="C13" s="595"/>
      <c r="D13" s="595"/>
      <c r="E13" s="773"/>
      <c r="G13" s="588"/>
    </row>
    <row r="14" spans="1:7">
      <c r="A14" s="157">
        <f t="shared" si="0"/>
        <v>-6</v>
      </c>
      <c r="B14" s="592" t="s">
        <v>558</v>
      </c>
      <c r="C14" s="591"/>
      <c r="D14" s="591"/>
      <c r="E14" s="583">
        <f>E12*(1-E13)</f>
        <v>0</v>
      </c>
    </row>
    <row r="15" spans="1:7">
      <c r="A15" s="157">
        <f t="shared" si="0"/>
        <v>-7</v>
      </c>
      <c r="B15" s="488" t="s">
        <v>559</v>
      </c>
      <c r="C15" s="595"/>
      <c r="D15" s="595"/>
      <c r="E15" s="584">
        <f>E11-E14</f>
        <v>0</v>
      </c>
    </row>
    <row r="16" spans="1:7">
      <c r="A16" s="157">
        <f t="shared" si="0"/>
        <v>-8</v>
      </c>
      <c r="B16" s="487" t="s">
        <v>560</v>
      </c>
      <c r="C16" s="591"/>
      <c r="D16" s="591"/>
      <c r="E16" s="774"/>
    </row>
    <row r="17" spans="1:9">
      <c r="A17" s="157">
        <f t="shared" si="0"/>
        <v>-9</v>
      </c>
      <c r="B17" s="488" t="s">
        <v>561</v>
      </c>
      <c r="C17" s="595"/>
      <c r="D17" s="595"/>
      <c r="E17" s="775"/>
    </row>
    <row r="18" spans="1:9">
      <c r="A18" s="157">
        <f t="shared" si="0"/>
        <v>-10</v>
      </c>
      <c r="B18" s="487" t="s">
        <v>562</v>
      </c>
      <c r="C18" s="591"/>
      <c r="D18" s="591"/>
      <c r="E18" s="774"/>
    </row>
    <row r="19" spans="1:9">
      <c r="A19" s="157">
        <f t="shared" si="0"/>
        <v>-11</v>
      </c>
      <c r="B19" s="574" t="s">
        <v>563</v>
      </c>
      <c r="C19" s="595"/>
      <c r="D19" s="595"/>
      <c r="E19" s="596">
        <f>IFERROR(E16/AVERAGE(E17:E18),1)</f>
        <v>1</v>
      </c>
    </row>
    <row r="20" spans="1:9">
      <c r="A20" s="157">
        <f t="shared" si="0"/>
        <v>-12</v>
      </c>
      <c r="B20" s="592" t="s">
        <v>537</v>
      </c>
      <c r="C20" s="591"/>
      <c r="D20" s="591"/>
      <c r="E20" s="776"/>
    </row>
    <row r="21" spans="1:9" ht="28.9" customHeight="1">
      <c r="A21" s="587">
        <f t="shared" si="0"/>
        <v>-13</v>
      </c>
      <c r="B21" s="1576" t="s">
        <v>577</v>
      </c>
      <c r="C21" s="1577"/>
      <c r="D21" s="1577"/>
      <c r="E21" s="777"/>
      <c r="G21" s="589"/>
    </row>
    <row r="22" spans="1:9" ht="28.9" customHeight="1">
      <c r="A22" s="587">
        <f t="shared" si="0"/>
        <v>-14</v>
      </c>
      <c r="B22" s="1574" t="s">
        <v>578</v>
      </c>
      <c r="C22" s="1578"/>
      <c r="D22" s="1578"/>
      <c r="E22" s="772"/>
      <c r="G22" s="589"/>
    </row>
    <row r="23" spans="1:9">
      <c r="A23" s="587">
        <f t="shared" si="0"/>
        <v>-15</v>
      </c>
      <c r="B23" s="488" t="s">
        <v>564</v>
      </c>
      <c r="C23" s="595"/>
      <c r="D23" s="595"/>
      <c r="E23" s="778"/>
    </row>
    <row r="24" spans="1:9">
      <c r="A24" s="587">
        <f t="shared" si="0"/>
        <v>-16</v>
      </c>
      <c r="B24" s="575" t="s">
        <v>565</v>
      </c>
      <c r="C24" s="597"/>
      <c r="D24" s="597"/>
      <c r="E24" s="78">
        <f>IFERROR(((E15/E20)-E21*(1-E13)-E22*(1-E23))/(1-E23),0)</f>
        <v>0</v>
      </c>
      <c r="G24" s="589"/>
      <c r="H24" s="588"/>
    </row>
    <row r="25" spans="1:9">
      <c r="E25" s="437"/>
    </row>
    <row r="26" spans="1:9">
      <c r="A26" s="587">
        <f>A24-1</f>
        <v>-17</v>
      </c>
      <c r="B26" s="427" t="s">
        <v>533</v>
      </c>
      <c r="C26" s="427"/>
      <c r="D26" s="427"/>
      <c r="E26" s="779"/>
    </row>
    <row r="27" spans="1:9" ht="14.45" customHeight="1">
      <c r="A27" s="587">
        <f>A26-1</f>
        <v>-18</v>
      </c>
      <c r="B27" s="427" t="s">
        <v>579</v>
      </c>
      <c r="C27" s="427"/>
      <c r="D27" s="427"/>
      <c r="E27" s="1235"/>
      <c r="I27" s="963" t="s">
        <v>111</v>
      </c>
    </row>
    <row r="28" spans="1:9">
      <c r="B28" s="1579" t="s">
        <v>858</v>
      </c>
      <c r="C28" s="1579"/>
      <c r="D28" s="1579"/>
      <c r="E28" s="1236" t="s">
        <v>111</v>
      </c>
      <c r="I28" s="963" t="s">
        <v>857</v>
      </c>
    </row>
    <row r="29" spans="1:9" s="963" customFormat="1">
      <c r="B29" s="427"/>
      <c r="I29" s="963" t="s">
        <v>100</v>
      </c>
    </row>
    <row r="30" spans="1:9" ht="14.45" customHeight="1">
      <c r="A30" s="157">
        <f>A27-1</f>
        <v>-19</v>
      </c>
      <c r="B30" s="1441" t="s">
        <v>898</v>
      </c>
      <c r="C30" s="1441"/>
      <c r="D30" s="1441"/>
      <c r="E30" s="1441"/>
      <c r="F30" s="1441"/>
      <c r="G30" s="1441"/>
    </row>
    <row r="31" spans="1:9">
      <c r="A31" s="157"/>
      <c r="B31" s="1442"/>
      <c r="C31" s="1442"/>
      <c r="D31" s="1442"/>
      <c r="E31" s="1442"/>
      <c r="F31" s="1442"/>
      <c r="G31" s="1442"/>
      <c r="I31" s="963" t="s">
        <v>833</v>
      </c>
    </row>
    <row r="32" spans="1:9" s="963" customFormat="1">
      <c r="A32" s="157"/>
      <c r="B32" s="1241" t="s">
        <v>833</v>
      </c>
      <c r="C32" s="1219"/>
      <c r="D32" s="1219"/>
      <c r="E32" s="1219"/>
      <c r="F32" s="1219"/>
      <c r="G32" s="1220"/>
      <c r="I32" s="963" t="s">
        <v>827</v>
      </c>
    </row>
    <row r="33" spans="1:7">
      <c r="A33" s="157"/>
      <c r="B33" s="277"/>
    </row>
    <row r="34" spans="1:7">
      <c r="A34" s="157">
        <f>A30-1</f>
        <v>-20</v>
      </c>
      <c r="B34" s="852" t="s">
        <v>580</v>
      </c>
      <c r="C34" s="811"/>
      <c r="D34" s="811"/>
      <c r="E34" s="811"/>
      <c r="F34" s="811"/>
      <c r="G34" s="812"/>
    </row>
    <row r="35" spans="1:7">
      <c r="A35" s="157"/>
      <c r="B35" s="1542"/>
      <c r="C35" s="1572"/>
      <c r="D35" s="1572"/>
      <c r="E35" s="1572"/>
      <c r="F35" s="1572"/>
      <c r="G35" s="1572"/>
    </row>
    <row r="36" spans="1:7">
      <c r="A36" s="157"/>
      <c r="B36" s="1573"/>
      <c r="C36" s="1573"/>
      <c r="D36" s="1573"/>
      <c r="E36" s="1573"/>
      <c r="F36" s="1573"/>
      <c r="G36" s="1573"/>
    </row>
    <row r="37" spans="1:7">
      <c r="A37" s="157"/>
      <c r="B37" s="1573"/>
      <c r="C37" s="1573"/>
      <c r="D37" s="1573"/>
      <c r="E37" s="1573"/>
      <c r="F37" s="1573"/>
      <c r="G37" s="1573"/>
    </row>
    <row r="38" spans="1:7">
      <c r="A38" s="157"/>
      <c r="B38" s="1573"/>
      <c r="C38" s="1573"/>
      <c r="D38" s="1573"/>
      <c r="E38" s="1573"/>
      <c r="F38" s="1573"/>
      <c r="G38" s="1573"/>
    </row>
    <row r="39" spans="1:7">
      <c r="A39" s="157"/>
      <c r="B39" s="1573"/>
      <c r="C39" s="1573"/>
      <c r="D39" s="1573"/>
      <c r="E39" s="1573"/>
      <c r="F39" s="1573"/>
      <c r="G39" s="1573"/>
    </row>
    <row r="40" spans="1:7">
      <c r="A40" s="157"/>
      <c r="B40" s="1573"/>
      <c r="C40" s="1573"/>
      <c r="D40" s="1573"/>
      <c r="E40" s="1573"/>
      <c r="F40" s="1573"/>
      <c r="G40" s="1573"/>
    </row>
    <row r="41" spans="1:7">
      <c r="A41" s="157"/>
      <c r="B41" s="1573"/>
      <c r="C41" s="1573"/>
      <c r="D41" s="1573"/>
      <c r="E41" s="1573"/>
      <c r="F41" s="1573"/>
      <c r="G41" s="1573"/>
    </row>
    <row r="42" spans="1:7">
      <c r="A42" s="157"/>
      <c r="B42" s="1573"/>
      <c r="C42" s="1573"/>
      <c r="D42" s="1573"/>
      <c r="E42" s="1573"/>
      <c r="F42" s="1573"/>
      <c r="G42" s="1573"/>
    </row>
    <row r="43" spans="1:7">
      <c r="A43" s="157"/>
      <c r="B43" s="277"/>
    </row>
    <row r="44" spans="1:7" ht="12" customHeight="1">
      <c r="A44" s="447" t="s">
        <v>516</v>
      </c>
      <c r="B44" s="204"/>
      <c r="C44" s="204"/>
      <c r="D44" s="204"/>
      <c r="E44" s="204"/>
      <c r="F44" s="204"/>
      <c r="G44" s="204"/>
    </row>
    <row r="45" spans="1:7" ht="12" customHeight="1">
      <c r="A45" s="448">
        <f>A9</f>
        <v>-1</v>
      </c>
      <c r="B45" s="205" t="s">
        <v>145</v>
      </c>
      <c r="C45" s="448">
        <f>A53-1</f>
        <v>-10</v>
      </c>
      <c r="D45" s="205" t="s">
        <v>145</v>
      </c>
      <c r="E45" s="204"/>
      <c r="F45" s="204"/>
      <c r="G45" s="204"/>
    </row>
    <row r="46" spans="1:7" ht="12" customHeight="1">
      <c r="A46" s="448">
        <f>A10</f>
        <v>-2</v>
      </c>
      <c r="B46" s="205" t="s">
        <v>145</v>
      </c>
      <c r="C46" s="448">
        <f t="shared" ref="C46:C53" si="1">C45-1</f>
        <v>-11</v>
      </c>
      <c r="D46" s="449" t="s">
        <v>567</v>
      </c>
      <c r="E46" s="204"/>
      <c r="F46" s="204"/>
    </row>
    <row r="47" spans="1:7" ht="12" customHeight="1">
      <c r="A47" s="448">
        <f>A11</f>
        <v>-3</v>
      </c>
      <c r="B47" s="449" t="s">
        <v>566</v>
      </c>
      <c r="C47" s="448">
        <f t="shared" si="1"/>
        <v>-12</v>
      </c>
      <c r="D47" s="205" t="s">
        <v>145</v>
      </c>
      <c r="E47" s="204"/>
      <c r="F47" s="204"/>
    </row>
    <row r="48" spans="1:7" ht="12" customHeight="1">
      <c r="A48" s="448">
        <f>A47-1</f>
        <v>-4</v>
      </c>
      <c r="B48" s="205" t="s">
        <v>145</v>
      </c>
      <c r="C48" s="448">
        <f t="shared" si="1"/>
        <v>-13</v>
      </c>
      <c r="D48" s="205" t="s">
        <v>145</v>
      </c>
      <c r="E48" s="204"/>
      <c r="F48" s="204"/>
    </row>
    <row r="49" spans="1:6" ht="12" customHeight="1">
      <c r="A49" s="448">
        <f>A48-1</f>
        <v>-5</v>
      </c>
      <c r="B49" s="205" t="s">
        <v>145</v>
      </c>
      <c r="C49" s="448">
        <f t="shared" si="1"/>
        <v>-14</v>
      </c>
      <c r="D49" s="205" t="s">
        <v>145</v>
      </c>
      <c r="E49" s="204"/>
      <c r="F49" s="204"/>
    </row>
    <row r="50" spans="1:6" ht="12" customHeight="1">
      <c r="A50" s="448">
        <f>A49-1</f>
        <v>-6</v>
      </c>
      <c r="B50" s="449" t="s">
        <v>766</v>
      </c>
      <c r="C50" s="448">
        <f t="shared" si="1"/>
        <v>-15</v>
      </c>
      <c r="D50" s="205" t="s">
        <v>145</v>
      </c>
      <c r="E50" s="204"/>
      <c r="F50" s="204"/>
    </row>
    <row r="51" spans="1:6" ht="12" customHeight="1">
      <c r="A51" s="448">
        <f t="shared" ref="A51:A53" si="2">A50-1</f>
        <v>-7</v>
      </c>
      <c r="B51" s="449" t="s">
        <v>767</v>
      </c>
      <c r="C51" s="448">
        <f t="shared" si="1"/>
        <v>-16</v>
      </c>
      <c r="D51" s="473" t="s">
        <v>568</v>
      </c>
      <c r="E51" s="598"/>
      <c r="F51" s="598"/>
    </row>
    <row r="52" spans="1:6" ht="12" customHeight="1">
      <c r="A52" s="448">
        <f t="shared" si="2"/>
        <v>-8</v>
      </c>
      <c r="B52" s="205" t="s">
        <v>145</v>
      </c>
      <c r="C52" s="448">
        <f t="shared" si="1"/>
        <v>-17</v>
      </c>
      <c r="D52" s="205" t="s">
        <v>145</v>
      </c>
      <c r="E52" s="598"/>
      <c r="F52" s="598"/>
    </row>
    <row r="53" spans="1:6" ht="12" customHeight="1">
      <c r="A53" s="448">
        <f t="shared" si="2"/>
        <v>-9</v>
      </c>
      <c r="B53" s="205" t="s">
        <v>145</v>
      </c>
      <c r="C53" s="448">
        <f t="shared" si="1"/>
        <v>-18</v>
      </c>
      <c r="D53" s="205" t="s">
        <v>145</v>
      </c>
      <c r="E53" s="204"/>
      <c r="F53" s="204"/>
    </row>
    <row r="54" spans="1:6" ht="12" customHeight="1">
      <c r="E54" s="204"/>
      <c r="F54" s="204"/>
    </row>
    <row r="55" spans="1:6" ht="12" customHeight="1"/>
    <row r="56" spans="1:6" ht="12" customHeight="1"/>
    <row r="57" spans="1:6" ht="12" customHeight="1"/>
    <row r="58" spans="1:6" ht="12" customHeight="1"/>
    <row r="59" spans="1:6" ht="12" customHeight="1"/>
    <row r="60" spans="1:6" ht="12" customHeight="1"/>
    <row r="61" spans="1:6" ht="12" customHeight="1"/>
    <row r="62" spans="1:6" ht="12" customHeight="1"/>
  </sheetData>
  <sheetProtection sheet="1" objects="1" scenarios="1"/>
  <mergeCells count="7">
    <mergeCell ref="B35:G42"/>
    <mergeCell ref="B8:D8"/>
    <mergeCell ref="B12:D12"/>
    <mergeCell ref="B21:D21"/>
    <mergeCell ref="B22:D22"/>
    <mergeCell ref="B30:G31"/>
    <mergeCell ref="B28:D28"/>
  </mergeCells>
  <conditionalFormatting sqref="E26:E27">
    <cfRule type="expression" dxfId="34" priority="17">
      <formula>$E$26=""</formula>
    </cfRule>
  </conditionalFormatting>
  <conditionalFormatting sqref="E9:E10 E12:E13 E16:E18 E20:E22 E23">
    <cfRule type="expression" dxfId="33" priority="8">
      <formula>$E9=""</formula>
    </cfRule>
  </conditionalFormatting>
  <conditionalFormatting sqref="B35">
    <cfRule type="expression" dxfId="32" priority="7">
      <formula>AND(NOT(ROUND($E$24,3)=ROUND($E$26,3)),B35="")</formula>
    </cfRule>
  </conditionalFormatting>
  <conditionalFormatting sqref="B34">
    <cfRule type="expression" dxfId="31" priority="5">
      <formula>NOT(ROUND($E$24,3)=ROUND($E$26,3))</formula>
    </cfRule>
  </conditionalFormatting>
  <conditionalFormatting sqref="B28:D28">
    <cfRule type="expression" dxfId="30" priority="4">
      <formula>$E$27&gt;0</formula>
    </cfRule>
  </conditionalFormatting>
  <conditionalFormatting sqref="E28">
    <cfRule type="expression" dxfId="29" priority="1">
      <formula>AND($E$27&gt;0,$E$28=$I$27)</formula>
    </cfRule>
    <cfRule type="expression" dxfId="28" priority="3">
      <formula>OR($E$28=$I$28,$E$28=$I$29)</formula>
    </cfRule>
  </conditionalFormatting>
  <conditionalFormatting sqref="B32:G32">
    <cfRule type="expression" dxfId="27" priority="2">
      <formula>$B$32=$I$31</formula>
    </cfRule>
  </conditionalFormatting>
  <dataValidations count="2">
    <dataValidation type="list" allowBlank="1" showInputMessage="1" showErrorMessage="1" sqref="E28">
      <formula1>$I$27:$I$29</formula1>
    </dataValidation>
    <dataValidation type="list" allowBlank="1" showInputMessage="1" showErrorMessage="1" sqref="B32">
      <formula1>$I$31:$I$32</formula1>
    </dataValidation>
  </dataValidations>
  <printOptions horizontalCentered="1"/>
  <pageMargins left="0.5" right="0.5" top="0.5" bottom="0.5" header="0.3" footer="0.3"/>
  <pageSetup scale="92" orientation="portrait" r:id="rId1"/>
  <headerFooter>
    <oddFooter>&amp;LRevised 3/2013&amp;RPage &amp;P of &amp;N</oddFooter>
  </headerFooter>
</worksheet>
</file>

<file path=xl/worksheets/sheet24.xml><?xml version="1.0" encoding="utf-8"?>
<worksheet xmlns="http://schemas.openxmlformats.org/spreadsheetml/2006/main" xmlns:r="http://schemas.openxmlformats.org/officeDocument/2006/relationships">
  <sheetPr codeName="Sheet19">
    <pageSetUpPr fitToPage="1"/>
  </sheetPr>
  <dimension ref="A1:H54"/>
  <sheetViews>
    <sheetView showGridLines="0" workbookViewId="0">
      <pane ySplit="5" topLeftCell="A6" activePane="bottomLeft" state="frozen"/>
      <selection pane="bottomLeft"/>
    </sheetView>
  </sheetViews>
  <sheetFormatPr defaultColWidth="8.85546875" defaultRowHeight="15"/>
  <cols>
    <col min="1" max="1" width="4" style="576" customWidth="1"/>
    <col min="2" max="3" width="8.85546875" style="576" customWidth="1"/>
    <col min="4" max="4" width="26.42578125" style="576" customWidth="1"/>
    <col min="5" max="5" width="14.140625" style="576" customWidth="1"/>
    <col min="6" max="6" width="8.85546875" style="576"/>
    <col min="7" max="7" width="14.140625" style="576" customWidth="1"/>
    <col min="8" max="16384" width="8.85546875" style="576"/>
  </cols>
  <sheetData>
    <row r="1" spans="1:8" ht="17.25">
      <c r="B1" s="206" t="str">
        <f>'12A-Profit'!B1</f>
        <v>Texas Department of Insurance</v>
      </c>
      <c r="G1" s="190" t="str">
        <f xml:space="preserve"> "Home - "&amp;MID(B4,9,2)</f>
        <v>Home - 12</v>
      </c>
    </row>
    <row r="2" spans="1:8" ht="17.25">
      <c r="B2" s="206" t="str">
        <f>'12A-Profit'!B2</f>
        <v>Property and Casualty Rate Filing Exhibits</v>
      </c>
    </row>
    <row r="3" spans="1:8">
      <c r="B3" s="226"/>
    </row>
    <row r="4" spans="1:8" ht="15.75">
      <c r="B4" s="188" t="s">
        <v>569</v>
      </c>
      <c r="C4" s="347"/>
      <c r="D4" s="347"/>
      <c r="F4" s="1120" t="s">
        <v>140</v>
      </c>
      <c r="G4" s="1121" t="str">
        <f>'12A-Profit'!G4</f>
        <v/>
      </c>
    </row>
    <row r="5" spans="1:8">
      <c r="F5" s="1120" t="s">
        <v>787</v>
      </c>
      <c r="G5" s="1121" t="str">
        <f>'12A-Profit'!G5</f>
        <v/>
      </c>
    </row>
    <row r="6" spans="1:8" s="951" customFormat="1">
      <c r="F6" s="330"/>
      <c r="G6" s="332"/>
    </row>
    <row r="7" spans="1:8">
      <c r="B7" s="958" t="s">
        <v>731</v>
      </c>
    </row>
    <row r="8" spans="1:8">
      <c r="B8" s="277"/>
    </row>
    <row r="9" spans="1:8">
      <c r="B9" s="1280" t="s">
        <v>570</v>
      </c>
      <c r="C9" s="1280"/>
      <c r="D9" s="1280"/>
      <c r="E9" s="476" t="s">
        <v>541</v>
      </c>
    </row>
    <row r="10" spans="1:8">
      <c r="A10" s="418">
        <f>-1</f>
        <v>-1</v>
      </c>
      <c r="B10" s="1549" t="s">
        <v>571</v>
      </c>
      <c r="C10" s="1583"/>
      <c r="D10" s="1550"/>
      <c r="E10" s="582">
        <f>'12A-Profit'!E26*(1-'12A-Profit'!E23)</f>
        <v>0</v>
      </c>
    </row>
    <row r="11" spans="1:8">
      <c r="A11" s="418">
        <f>A10-1</f>
        <v>-2</v>
      </c>
      <c r="B11" s="1545" t="s">
        <v>572</v>
      </c>
      <c r="C11" s="1581"/>
      <c r="D11" s="1546"/>
      <c r="E11" s="583">
        <f>'12A-Profit'!E27*(1-'12A-Profit'!E23)</f>
        <v>0</v>
      </c>
    </row>
    <row r="12" spans="1:8">
      <c r="A12" s="418">
        <f>A11-1</f>
        <v>-3</v>
      </c>
      <c r="B12" s="1547" t="s">
        <v>573</v>
      </c>
      <c r="C12" s="1582"/>
      <c r="D12" s="1548"/>
      <c r="E12" s="128">
        <f>'12A-Profit'!E22*(1-'12A-Profit'!E23)</f>
        <v>0</v>
      </c>
    </row>
    <row r="13" spans="1:8">
      <c r="A13" s="418">
        <f t="shared" ref="A13:A18" si="0">A12-1</f>
        <v>-4</v>
      </c>
      <c r="B13" s="1545" t="s">
        <v>581</v>
      </c>
      <c r="C13" s="1581"/>
      <c r="D13" s="1546"/>
      <c r="E13" s="583">
        <f>'12A-Profit'!E21*(1-'12A-Profit'!E13)</f>
        <v>0</v>
      </c>
    </row>
    <row r="14" spans="1:8">
      <c r="A14" s="418">
        <f t="shared" si="0"/>
        <v>-5</v>
      </c>
      <c r="B14" s="1547" t="s">
        <v>582</v>
      </c>
      <c r="C14" s="1582"/>
      <c r="D14" s="1548"/>
      <c r="E14" s="128">
        <f>'12A-Profit'!E14</f>
        <v>0</v>
      </c>
      <c r="G14" s="588"/>
    </row>
    <row r="15" spans="1:8">
      <c r="A15" s="418">
        <f t="shared" si="0"/>
        <v>-6</v>
      </c>
      <c r="B15" s="1545" t="s">
        <v>574</v>
      </c>
      <c r="C15" s="1581"/>
      <c r="D15" s="1546"/>
      <c r="E15" s="599">
        <f>'12A-Profit'!E20</f>
        <v>0</v>
      </c>
      <c r="G15" s="588"/>
    </row>
    <row r="16" spans="1:8">
      <c r="A16" s="418">
        <f t="shared" si="0"/>
        <v>-7</v>
      </c>
      <c r="B16" s="1547" t="s">
        <v>575</v>
      </c>
      <c r="C16" s="1582"/>
      <c r="D16" s="1548"/>
      <c r="E16" s="128">
        <f>((E10+E11+E12+E13)*E15)+E14</f>
        <v>0</v>
      </c>
      <c r="F16" s="590"/>
      <c r="H16" s="590"/>
    </row>
    <row r="17" spans="1:8">
      <c r="A17" s="418">
        <f t="shared" si="0"/>
        <v>-8</v>
      </c>
      <c r="B17" s="1545" t="s">
        <v>554</v>
      </c>
      <c r="C17" s="1581"/>
      <c r="D17" s="1546"/>
      <c r="E17" s="599">
        <f>'12A-Profit'!E10</f>
        <v>0</v>
      </c>
      <c r="F17" s="590"/>
      <c r="H17" s="590"/>
    </row>
    <row r="18" spans="1:8">
      <c r="A18" s="418">
        <f t="shared" si="0"/>
        <v>-9</v>
      </c>
      <c r="B18" s="1543" t="s">
        <v>576</v>
      </c>
      <c r="C18" s="1580"/>
      <c r="D18" s="1544"/>
      <c r="E18" s="600">
        <f>IFERROR(E16/E17,0)</f>
        <v>0</v>
      </c>
    </row>
    <row r="38" spans="1:2" ht="12" customHeight="1">
      <c r="A38" s="447" t="s">
        <v>516</v>
      </c>
      <c r="B38" s="204"/>
    </row>
    <row r="39" spans="1:2" ht="12" customHeight="1">
      <c r="A39" s="448">
        <f>A10</f>
        <v>-1</v>
      </c>
      <c r="B39" s="204" t="s">
        <v>768</v>
      </c>
    </row>
    <row r="40" spans="1:2" ht="12" customHeight="1">
      <c r="A40" s="448">
        <f>A39-1</f>
        <v>-2</v>
      </c>
      <c r="B40" s="204" t="s">
        <v>769</v>
      </c>
    </row>
    <row r="41" spans="1:2" ht="12" customHeight="1">
      <c r="A41" s="448">
        <f t="shared" ref="A41:A47" si="1">A40-1</f>
        <v>-3</v>
      </c>
      <c r="B41" s="204" t="s">
        <v>770</v>
      </c>
    </row>
    <row r="42" spans="1:2" ht="12" customHeight="1">
      <c r="A42" s="448">
        <f t="shared" si="1"/>
        <v>-4</v>
      </c>
      <c r="B42" s="204" t="s">
        <v>771</v>
      </c>
    </row>
    <row r="43" spans="1:2" ht="12" customHeight="1">
      <c r="A43" s="448">
        <f t="shared" si="1"/>
        <v>-5</v>
      </c>
      <c r="B43" s="204" t="s">
        <v>772</v>
      </c>
    </row>
    <row r="44" spans="1:2" ht="12" customHeight="1">
      <c r="A44" s="448">
        <f t="shared" si="1"/>
        <v>-6</v>
      </c>
      <c r="B44" s="204" t="s">
        <v>773</v>
      </c>
    </row>
    <row r="45" spans="1:2" ht="12" customHeight="1">
      <c r="A45" s="448">
        <f t="shared" si="1"/>
        <v>-7</v>
      </c>
      <c r="B45" s="449" t="s">
        <v>774</v>
      </c>
    </row>
    <row r="46" spans="1:2" ht="12" customHeight="1">
      <c r="A46" s="448">
        <f t="shared" si="1"/>
        <v>-8</v>
      </c>
      <c r="B46" s="204" t="s">
        <v>775</v>
      </c>
    </row>
    <row r="47" spans="1:2" ht="12" customHeight="1">
      <c r="A47" s="448">
        <f t="shared" si="1"/>
        <v>-9</v>
      </c>
      <c r="B47" s="449" t="s">
        <v>776</v>
      </c>
    </row>
    <row r="48" spans="1:2" ht="12" customHeight="1">
      <c r="A48" s="448"/>
      <c r="B48" s="205"/>
    </row>
    <row r="49" spans="1:2" ht="12" customHeight="1">
      <c r="A49" s="448"/>
      <c r="B49" s="449"/>
    </row>
    <row r="50" spans="1:2" ht="12" customHeight="1">
      <c r="A50" s="448"/>
      <c r="B50" s="205"/>
    </row>
    <row r="51" spans="1:2" ht="12" customHeight="1">
      <c r="A51" s="448"/>
      <c r="B51" s="205"/>
    </row>
    <row r="52" spans="1:2">
      <c r="A52" s="448"/>
      <c r="B52" s="205"/>
    </row>
    <row r="53" spans="1:2">
      <c r="A53" s="448"/>
      <c r="B53" s="205"/>
    </row>
    <row r="54" spans="1:2">
      <c r="A54" s="448"/>
      <c r="B54" s="449"/>
    </row>
  </sheetData>
  <sheetProtection sheet="1" objects="1" scenarios="1"/>
  <mergeCells count="10">
    <mergeCell ref="B9:D9"/>
    <mergeCell ref="B18:D18"/>
    <mergeCell ref="B17:D17"/>
    <mergeCell ref="B16:D16"/>
    <mergeCell ref="B15:D15"/>
    <mergeCell ref="B14:D14"/>
    <mergeCell ref="B13:D13"/>
    <mergeCell ref="B12:D12"/>
    <mergeCell ref="B11:D11"/>
    <mergeCell ref="B10:D10"/>
  </mergeCells>
  <printOptions horizontalCentered="1"/>
  <pageMargins left="0.5" right="0.5" top="0.5" bottom="0.5" header="0.3" footer="0.3"/>
  <pageSetup orientation="portrait" r:id="rId1"/>
  <headerFooter>
    <oddFooter>&amp;LRevised 3/2013&amp;RPage &amp;P of &amp;N</oddFooter>
  </headerFooter>
</worksheet>
</file>

<file path=xl/worksheets/sheet25.xml><?xml version="1.0" encoding="utf-8"?>
<worksheet xmlns="http://schemas.openxmlformats.org/spreadsheetml/2006/main" xmlns:r="http://schemas.openxmlformats.org/officeDocument/2006/relationships">
  <sheetPr codeName="Sheet20">
    <pageSetUpPr fitToPage="1"/>
  </sheetPr>
  <dimension ref="A1:I60"/>
  <sheetViews>
    <sheetView showGridLines="0" workbookViewId="0">
      <pane ySplit="5" topLeftCell="A6" activePane="bottomLeft" state="frozen"/>
      <selection pane="bottomLeft"/>
    </sheetView>
  </sheetViews>
  <sheetFormatPr defaultRowHeight="15"/>
  <cols>
    <col min="1" max="1" width="4.140625" customWidth="1"/>
    <col min="2" max="2" width="21.7109375" customWidth="1"/>
    <col min="3" max="3" width="23.85546875" customWidth="1"/>
    <col min="4" max="4" width="14.140625" customWidth="1"/>
    <col min="5" max="5" width="9.42578125" bestFit="1" customWidth="1"/>
    <col min="6" max="6" width="8.85546875" customWidth="1"/>
    <col min="7" max="7" width="14.140625" customWidth="1"/>
    <col min="9" max="9" width="8.85546875" hidden="1" customWidth="1"/>
  </cols>
  <sheetData>
    <row r="1" spans="1:7" ht="17.25">
      <c r="B1" s="9" t="str">
        <f>'D-Historical Experience'!B1</f>
        <v>Texas Department of Insurance</v>
      </c>
      <c r="G1" s="190" t="str">
        <f xml:space="preserve"> "Home - "&amp;MID(B4,9,2)</f>
        <v>Home - 13</v>
      </c>
    </row>
    <row r="2" spans="1:7" ht="17.25">
      <c r="B2" s="9" t="str">
        <f>'D-Historical Experience'!B2</f>
        <v>Property and Casualty Rate Filing Exhibits</v>
      </c>
    </row>
    <row r="4" spans="1:7" ht="15.75">
      <c r="B4" s="165" t="s">
        <v>500</v>
      </c>
      <c r="C4" s="163"/>
      <c r="F4" s="1120" t="s">
        <v>140</v>
      </c>
      <c r="G4" s="1121" t="str">
        <f>'12B-Total Return'!G4</f>
        <v/>
      </c>
    </row>
    <row r="5" spans="1:7">
      <c r="F5" s="1120" t="s">
        <v>787</v>
      </c>
      <c r="G5" s="1121" t="str">
        <f>'12B-Total Return'!G5</f>
        <v/>
      </c>
    </row>
    <row r="7" spans="1:7" s="475" customFormat="1"/>
    <row r="8" spans="1:7">
      <c r="B8" s="1280" t="s">
        <v>542</v>
      </c>
      <c r="C8" s="1280"/>
      <c r="D8" s="476" t="s">
        <v>541</v>
      </c>
    </row>
    <row r="9" spans="1:7">
      <c r="A9" s="157">
        <v>-1</v>
      </c>
      <c r="B9" s="1600" t="s">
        <v>470</v>
      </c>
      <c r="C9" s="1601"/>
      <c r="D9" s="711"/>
    </row>
    <row r="10" spans="1:7">
      <c r="A10" s="157">
        <f>A9-1</f>
        <v>-2</v>
      </c>
      <c r="B10" s="1596" t="s">
        <v>469</v>
      </c>
      <c r="C10" s="1597"/>
      <c r="D10" s="780"/>
    </row>
    <row r="11" spans="1:7">
      <c r="A11" s="157">
        <f t="shared" ref="A11:A15" si="0">A10-1</f>
        <v>-3</v>
      </c>
      <c r="B11" s="1598" t="s">
        <v>6</v>
      </c>
      <c r="C11" s="1599"/>
      <c r="D11" s="781"/>
    </row>
    <row r="12" spans="1:7">
      <c r="A12" s="157">
        <f t="shared" si="0"/>
        <v>-4</v>
      </c>
      <c r="B12" s="1596" t="s">
        <v>91</v>
      </c>
      <c r="C12" s="1597"/>
      <c r="D12" s="77">
        <f>'6-Loss Ratio Trend'!D26</f>
        <v>0</v>
      </c>
    </row>
    <row r="13" spans="1:7">
      <c r="A13" s="157">
        <f t="shared" si="0"/>
        <v>-5</v>
      </c>
      <c r="B13" s="1598" t="s">
        <v>92</v>
      </c>
      <c r="C13" s="1599"/>
      <c r="D13" s="585">
        <f>ROUND(('General Information'!B20-'General Information'!B22)/365.25,2)</f>
        <v>0</v>
      </c>
      <c r="E13" s="287"/>
    </row>
    <row r="14" spans="1:7">
      <c r="A14" s="157">
        <f t="shared" si="0"/>
        <v>-6</v>
      </c>
      <c r="B14" s="1596" t="s">
        <v>13</v>
      </c>
      <c r="C14" s="1597"/>
      <c r="D14" s="586">
        <f>(1+D12)^D13-1</f>
        <v>0</v>
      </c>
    </row>
    <row r="15" spans="1:7">
      <c r="A15" s="157">
        <f t="shared" si="0"/>
        <v>-7</v>
      </c>
      <c r="B15" s="1594" t="s">
        <v>547</v>
      </c>
      <c r="C15" s="1595"/>
      <c r="D15" s="707"/>
    </row>
    <row r="17" spans="1:9">
      <c r="A17" s="147">
        <f>A15-1</f>
        <v>-8</v>
      </c>
      <c r="B17" s="1411" t="s">
        <v>633</v>
      </c>
      <c r="C17" s="1589"/>
      <c r="D17" s="1589"/>
      <c r="E17" s="1589"/>
      <c r="F17" s="1589"/>
      <c r="G17" s="1590"/>
    </row>
    <row r="18" spans="1:9" s="496" customFormat="1">
      <c r="A18" s="147"/>
      <c r="B18" s="1591"/>
      <c r="C18" s="1592"/>
      <c r="D18" s="1592"/>
      <c r="E18" s="1592"/>
      <c r="F18" s="1592"/>
      <c r="G18" s="1593"/>
    </row>
    <row r="19" spans="1:9">
      <c r="A19" s="442"/>
      <c r="B19" s="1362"/>
      <c r="C19" s="1363"/>
      <c r="D19" s="1363"/>
      <c r="E19" s="1363"/>
      <c r="F19" s="1363"/>
      <c r="G19" s="1364"/>
    </row>
    <row r="20" spans="1:9">
      <c r="A20" s="442"/>
      <c r="B20" s="1298"/>
      <c r="C20" s="1299"/>
      <c r="D20" s="1299"/>
      <c r="E20" s="1299"/>
      <c r="F20" s="1299"/>
      <c r="G20" s="1300"/>
    </row>
    <row r="21" spans="1:9">
      <c r="A21" s="442"/>
      <c r="B21" s="1301"/>
      <c r="C21" s="1302"/>
      <c r="D21" s="1302"/>
      <c r="E21" s="1302"/>
      <c r="F21" s="1302"/>
      <c r="G21" s="1303"/>
    </row>
    <row r="22" spans="1:9">
      <c r="A22" s="349"/>
      <c r="B22" s="349"/>
      <c r="C22" s="349"/>
      <c r="D22" s="349"/>
      <c r="E22" s="349"/>
      <c r="F22" s="349"/>
      <c r="G22" s="349"/>
      <c r="H22" s="164"/>
    </row>
    <row r="23" spans="1:9">
      <c r="A23" s="493">
        <f>A17-1</f>
        <v>-9</v>
      </c>
      <c r="B23" s="849" t="s">
        <v>634</v>
      </c>
      <c r="C23" s="527"/>
      <c r="D23" s="527"/>
      <c r="E23" s="527"/>
      <c r="F23" s="527"/>
      <c r="G23" s="850"/>
      <c r="H23" s="164"/>
    </row>
    <row r="24" spans="1:9">
      <c r="A24" s="442"/>
      <c r="B24" s="1362"/>
      <c r="C24" s="1363"/>
      <c r="D24" s="1363"/>
      <c r="E24" s="1363"/>
      <c r="F24" s="1363"/>
      <c r="G24" s="1364"/>
      <c r="H24" s="164"/>
    </row>
    <row r="25" spans="1:9">
      <c r="A25" s="442"/>
      <c r="B25" s="1298"/>
      <c r="C25" s="1299"/>
      <c r="D25" s="1299"/>
      <c r="E25" s="1299"/>
      <c r="F25" s="1299"/>
      <c r="G25" s="1300"/>
      <c r="H25" s="164"/>
    </row>
    <row r="26" spans="1:9">
      <c r="A26" s="442"/>
      <c r="B26" s="1298"/>
      <c r="C26" s="1299"/>
      <c r="D26" s="1299"/>
      <c r="E26" s="1299"/>
      <c r="F26" s="1299"/>
      <c r="G26" s="1300"/>
      <c r="H26" s="164"/>
    </row>
    <row r="27" spans="1:9">
      <c r="A27" s="442"/>
      <c r="B27" s="1298"/>
      <c r="C27" s="1299"/>
      <c r="D27" s="1299"/>
      <c r="E27" s="1299"/>
      <c r="F27" s="1299"/>
      <c r="G27" s="1300"/>
      <c r="H27" s="164"/>
    </row>
    <row r="28" spans="1:9">
      <c r="A28" s="442"/>
      <c r="B28" s="1298"/>
      <c r="C28" s="1299"/>
      <c r="D28" s="1299"/>
      <c r="E28" s="1299"/>
      <c r="F28" s="1299"/>
      <c r="G28" s="1300"/>
      <c r="H28" s="164"/>
    </row>
    <row r="29" spans="1:9">
      <c r="A29" s="442"/>
      <c r="B29" s="1298"/>
      <c r="C29" s="1299"/>
      <c r="D29" s="1299"/>
      <c r="E29" s="1299"/>
      <c r="F29" s="1299"/>
      <c r="G29" s="1300"/>
      <c r="H29" s="164"/>
    </row>
    <row r="30" spans="1:9">
      <c r="A30" s="442"/>
      <c r="B30" s="1301"/>
      <c r="C30" s="1302"/>
      <c r="D30" s="1302"/>
      <c r="E30" s="1302"/>
      <c r="F30" s="1302"/>
      <c r="G30" s="1303"/>
      <c r="H30" s="164"/>
      <c r="I30" t="s">
        <v>111</v>
      </c>
    </row>
    <row r="31" spans="1:9">
      <c r="A31" s="349"/>
      <c r="B31" s="349"/>
      <c r="C31" s="349"/>
      <c r="D31" s="349"/>
      <c r="E31" s="349"/>
      <c r="F31" s="349"/>
      <c r="G31" s="349"/>
      <c r="H31" s="164"/>
      <c r="I31" t="s">
        <v>471</v>
      </c>
    </row>
    <row r="32" spans="1:9">
      <c r="A32" s="493">
        <f>A23-1</f>
        <v>-10</v>
      </c>
      <c r="B32" s="1602" t="s">
        <v>844</v>
      </c>
      <c r="C32" s="1603"/>
      <c r="D32" s="1603"/>
      <c r="E32" s="1603"/>
      <c r="F32" s="1603"/>
      <c r="G32" s="1604"/>
      <c r="H32" s="164"/>
      <c r="I32" t="s">
        <v>472</v>
      </c>
    </row>
    <row r="33" spans="1:9">
      <c r="A33" s="493"/>
      <c r="B33" s="1193" t="s">
        <v>111</v>
      </c>
      <c r="C33" s="1189"/>
      <c r="D33" s="1190"/>
      <c r="E33" s="1191"/>
      <c r="F33" s="1191"/>
      <c r="G33" s="1192"/>
      <c r="H33" s="164"/>
      <c r="I33" t="s">
        <v>148</v>
      </c>
    </row>
    <row r="34" spans="1:9">
      <c r="B34" s="851" t="s">
        <v>635</v>
      </c>
      <c r="C34" s="349"/>
      <c r="D34" s="349"/>
      <c r="E34" s="349"/>
      <c r="F34" s="349"/>
      <c r="G34" s="528"/>
      <c r="H34" s="164"/>
      <c r="I34" s="621"/>
    </row>
    <row r="35" spans="1:9">
      <c r="A35" s="442"/>
      <c r="B35" s="1362"/>
      <c r="C35" s="1363"/>
      <c r="D35" s="1363"/>
      <c r="E35" s="1363"/>
      <c r="F35" s="1363"/>
      <c r="G35" s="1364"/>
      <c r="H35" s="164"/>
    </row>
    <row r="36" spans="1:9">
      <c r="A36" s="442"/>
      <c r="B36" s="1298"/>
      <c r="C36" s="1299"/>
      <c r="D36" s="1299"/>
      <c r="E36" s="1299"/>
      <c r="F36" s="1299"/>
      <c r="G36" s="1300"/>
      <c r="H36" s="164"/>
    </row>
    <row r="37" spans="1:9">
      <c r="A37" s="442"/>
      <c r="B37" s="1298"/>
      <c r="C37" s="1299"/>
      <c r="D37" s="1299"/>
      <c r="E37" s="1299"/>
      <c r="F37" s="1299"/>
      <c r="G37" s="1300"/>
      <c r="H37" s="164"/>
    </row>
    <row r="38" spans="1:9">
      <c r="A38" s="442"/>
      <c r="B38" s="1298"/>
      <c r="C38" s="1299"/>
      <c r="D38" s="1299"/>
      <c r="E38" s="1299"/>
      <c r="F38" s="1299"/>
      <c r="G38" s="1300"/>
      <c r="H38" s="164"/>
    </row>
    <row r="39" spans="1:9">
      <c r="A39" s="442"/>
      <c r="B39" s="1298"/>
      <c r="C39" s="1299"/>
      <c r="D39" s="1299"/>
      <c r="E39" s="1299"/>
      <c r="F39" s="1299"/>
      <c r="G39" s="1300"/>
      <c r="H39" s="164"/>
    </row>
    <row r="40" spans="1:9">
      <c r="A40" s="442"/>
      <c r="B40" s="1298"/>
      <c r="C40" s="1299"/>
      <c r="D40" s="1299"/>
      <c r="E40" s="1299"/>
      <c r="F40" s="1299"/>
      <c r="G40" s="1300"/>
      <c r="H40" s="164"/>
    </row>
    <row r="41" spans="1:9">
      <c r="A41" s="442"/>
      <c r="B41" s="1301"/>
      <c r="C41" s="1302"/>
      <c r="D41" s="1302"/>
      <c r="E41" s="1302"/>
      <c r="F41" s="1302"/>
      <c r="G41" s="1303"/>
      <c r="H41" s="164"/>
    </row>
    <row r="42" spans="1:9">
      <c r="A42" s="349"/>
      <c r="B42" s="349"/>
      <c r="C42" s="349"/>
      <c r="D42" s="349"/>
      <c r="E42" s="349"/>
      <c r="F42" s="349"/>
      <c r="G42" s="349"/>
    </row>
    <row r="43" spans="1:9">
      <c r="A43" s="494">
        <f>A32-1</f>
        <v>-11</v>
      </c>
      <c r="B43" s="1459" t="s">
        <v>636</v>
      </c>
      <c r="C43" s="1584"/>
      <c r="D43" s="1584"/>
      <c r="E43" s="1584"/>
      <c r="F43" s="1584"/>
      <c r="G43" s="1585"/>
    </row>
    <row r="44" spans="1:9">
      <c r="A44" s="479"/>
      <c r="B44" s="1586"/>
      <c r="C44" s="1587"/>
      <c r="D44" s="1587"/>
      <c r="E44" s="1587"/>
      <c r="F44" s="1587"/>
      <c r="G44" s="1588"/>
    </row>
    <row r="45" spans="1:9">
      <c r="A45" s="442"/>
      <c r="B45" s="1362"/>
      <c r="C45" s="1363"/>
      <c r="D45" s="1363"/>
      <c r="E45" s="1363"/>
      <c r="F45" s="1363"/>
      <c r="G45" s="1364"/>
    </row>
    <row r="46" spans="1:9">
      <c r="A46" s="442"/>
      <c r="B46" s="1298"/>
      <c r="C46" s="1299"/>
      <c r="D46" s="1299"/>
      <c r="E46" s="1299"/>
      <c r="F46" s="1299"/>
      <c r="G46" s="1300"/>
    </row>
    <row r="47" spans="1:9">
      <c r="A47" s="442"/>
      <c r="B47" s="1298"/>
      <c r="C47" s="1299"/>
      <c r="D47" s="1299"/>
      <c r="E47" s="1299"/>
      <c r="F47" s="1299"/>
      <c r="G47" s="1300"/>
    </row>
    <row r="48" spans="1:9">
      <c r="A48" s="442"/>
      <c r="B48" s="1298"/>
      <c r="C48" s="1299"/>
      <c r="D48" s="1299"/>
      <c r="E48" s="1299"/>
      <c r="F48" s="1299"/>
      <c r="G48" s="1300"/>
    </row>
    <row r="49" spans="1:7">
      <c r="A49" s="442"/>
      <c r="B49" s="1298"/>
      <c r="C49" s="1299"/>
      <c r="D49" s="1299"/>
      <c r="E49" s="1299"/>
      <c r="F49" s="1299"/>
      <c r="G49" s="1300"/>
    </row>
    <row r="50" spans="1:7">
      <c r="A50" s="442"/>
      <c r="B50" s="1298"/>
      <c r="C50" s="1299"/>
      <c r="D50" s="1299"/>
      <c r="E50" s="1299"/>
      <c r="F50" s="1299"/>
      <c r="G50" s="1300"/>
    </row>
    <row r="51" spans="1:7">
      <c r="A51" s="442"/>
      <c r="B51" s="1301"/>
      <c r="C51" s="1302"/>
      <c r="D51" s="1302"/>
      <c r="E51" s="1302"/>
      <c r="F51" s="1302"/>
      <c r="G51" s="1303"/>
    </row>
    <row r="52" spans="1:7" ht="12" customHeight="1"/>
    <row r="53" spans="1:7" ht="12" customHeight="1">
      <c r="A53" s="447" t="s">
        <v>516</v>
      </c>
      <c r="B53" s="204"/>
    </row>
    <row r="54" spans="1:7" ht="12" customHeight="1">
      <c r="A54" s="448">
        <f t="shared" ref="A54:A60" si="1">A9</f>
        <v>-1</v>
      </c>
      <c r="B54" s="205" t="s">
        <v>145</v>
      </c>
    </row>
    <row r="55" spans="1:7" ht="12" customHeight="1">
      <c r="A55" s="448">
        <f t="shared" si="1"/>
        <v>-2</v>
      </c>
      <c r="B55" s="205" t="s">
        <v>145</v>
      </c>
    </row>
    <row r="56" spans="1:7" ht="12" customHeight="1">
      <c r="A56" s="448">
        <f t="shared" si="1"/>
        <v>-3</v>
      </c>
      <c r="B56" s="205" t="s">
        <v>145</v>
      </c>
    </row>
    <row r="57" spans="1:7" ht="12" customHeight="1">
      <c r="A57" s="448">
        <f t="shared" si="1"/>
        <v>-4</v>
      </c>
      <c r="B57" s="204" t="s">
        <v>532</v>
      </c>
    </row>
    <row r="58" spans="1:7" ht="12" customHeight="1">
      <c r="A58" s="448">
        <f t="shared" si="1"/>
        <v>-5</v>
      </c>
      <c r="B58" s="204" t="s">
        <v>150</v>
      </c>
    </row>
    <row r="59" spans="1:7" ht="13.9" customHeight="1">
      <c r="A59" s="448">
        <f t="shared" si="1"/>
        <v>-6</v>
      </c>
      <c r="B59" s="449" t="s">
        <v>914</v>
      </c>
    </row>
    <row r="60" spans="1:7" ht="12" customHeight="1">
      <c r="A60" s="448">
        <f t="shared" si="1"/>
        <v>-7</v>
      </c>
      <c r="B60" s="205" t="s">
        <v>157</v>
      </c>
    </row>
  </sheetData>
  <sheetProtection sheet="1" objects="1" scenarios="1"/>
  <mergeCells count="15">
    <mergeCell ref="B45:G51"/>
    <mergeCell ref="B8:C8"/>
    <mergeCell ref="B19:G21"/>
    <mergeCell ref="B43:G44"/>
    <mergeCell ref="B17:G18"/>
    <mergeCell ref="B24:G30"/>
    <mergeCell ref="B35:G41"/>
    <mergeCell ref="B15:C15"/>
    <mergeCell ref="B14:C14"/>
    <mergeCell ref="B13:C13"/>
    <mergeCell ref="B12:C12"/>
    <mergeCell ref="B11:C11"/>
    <mergeCell ref="B10:C10"/>
    <mergeCell ref="B9:C9"/>
    <mergeCell ref="B32:G32"/>
  </mergeCells>
  <conditionalFormatting sqref="D9:D11">
    <cfRule type="expression" dxfId="26" priority="7">
      <formula>$D9=""</formula>
    </cfRule>
  </conditionalFormatting>
  <conditionalFormatting sqref="B24 B19">
    <cfRule type="expression" dxfId="25" priority="6" stopIfTrue="1">
      <formula>B19=""</formula>
    </cfRule>
  </conditionalFormatting>
  <conditionalFormatting sqref="B45">
    <cfRule type="expression" dxfId="24" priority="4">
      <formula>AND(NOT($D$15=""),$B$45="")</formula>
    </cfRule>
  </conditionalFormatting>
  <conditionalFormatting sqref="B43:G44">
    <cfRule type="expression" dxfId="23" priority="1">
      <formula>NOT($D$15="")</formula>
    </cfRule>
  </conditionalFormatting>
  <conditionalFormatting sqref="B35">
    <cfRule type="expression" dxfId="22" priority="10">
      <formula>AND($B$33=$I$33,$B$35="")</formula>
    </cfRule>
  </conditionalFormatting>
  <conditionalFormatting sqref="B33:G33">
    <cfRule type="expression" dxfId="21" priority="12">
      <formula>$B$33=$I$30</formula>
    </cfRule>
  </conditionalFormatting>
  <conditionalFormatting sqref="B34">
    <cfRule type="expression" dxfId="20" priority="14">
      <formula>$B$33=$I$33</formula>
    </cfRule>
  </conditionalFormatting>
  <dataValidations count="2">
    <dataValidation type="list" showInputMessage="1" showErrorMessage="1" sqref="D33">
      <formula1>$I$30:$I$33</formula1>
    </dataValidation>
    <dataValidation type="list" allowBlank="1" showInputMessage="1" showErrorMessage="1" sqref="B33">
      <formula1>$I$30:$I$33</formula1>
    </dataValidation>
  </dataValidations>
  <printOptions horizontalCentered="1"/>
  <pageMargins left="0.5" right="0.5" top="0.5" bottom="0.5" header="0.3" footer="0.3"/>
  <pageSetup scale="84" orientation="portrait" r:id="rId1"/>
  <headerFooter>
    <oddFooter>&amp;LRevised 3/2013&amp;RPage &amp;P of &amp;N</oddFooter>
  </headerFooter>
</worksheet>
</file>

<file path=xl/worksheets/sheet26.xml><?xml version="1.0" encoding="utf-8"?>
<worksheet xmlns="http://schemas.openxmlformats.org/spreadsheetml/2006/main" xmlns:r="http://schemas.openxmlformats.org/officeDocument/2006/relationships">
  <sheetPr codeName="Sheet191">
    <pageSetUpPr fitToPage="1"/>
  </sheetPr>
  <dimension ref="A1:O57"/>
  <sheetViews>
    <sheetView showGridLines="0" zoomScaleNormal="100" workbookViewId="0">
      <pane ySplit="5" topLeftCell="A6" activePane="bottomLeft" state="frozen"/>
      <selection pane="bottomLeft"/>
    </sheetView>
  </sheetViews>
  <sheetFormatPr defaultRowHeight="15"/>
  <cols>
    <col min="1" max="1" width="3.140625" style="157" bestFit="1" customWidth="1"/>
    <col min="2" max="2" width="29.85546875" customWidth="1"/>
    <col min="3" max="3" width="12.42578125" customWidth="1"/>
    <col min="4" max="4" width="12.5703125" customWidth="1"/>
    <col min="5" max="5" width="14.42578125" bestFit="1" customWidth="1"/>
    <col min="6" max="6" width="15.42578125" customWidth="1"/>
    <col min="7" max="7" width="14.28515625" style="164" customWidth="1"/>
    <col min="9" max="9" width="0" style="963" hidden="1" customWidth="1"/>
    <col min="10" max="10" width="8.85546875" style="576" hidden="1" customWidth="1"/>
    <col min="11" max="11" width="8.85546875" style="609" hidden="1" customWidth="1"/>
    <col min="12" max="15" width="8.85546875" hidden="1" customWidth="1"/>
    <col min="16" max="16" width="8.85546875" customWidth="1"/>
  </cols>
  <sheetData>
    <row r="1" spans="1:15" ht="17.25">
      <c r="B1" s="206" t="str">
        <f>'13-Credibility'!B1</f>
        <v>Texas Department of Insurance</v>
      </c>
      <c r="G1" s="190" t="str">
        <f xml:space="preserve"> "Home - "&amp;MID(B4,9,2)</f>
        <v>Home - 14</v>
      </c>
    </row>
    <row r="2" spans="1:15" ht="17.25">
      <c r="B2" s="206" t="str">
        <f>'13-Credibility'!B2</f>
        <v>Property and Casualty Rate Filing Exhibits</v>
      </c>
    </row>
    <row r="3" spans="1:15">
      <c r="B3" s="226"/>
    </row>
    <row r="4" spans="1:15" ht="15.75">
      <c r="B4" s="188" t="s">
        <v>501</v>
      </c>
      <c r="F4" s="1120" t="s">
        <v>140</v>
      </c>
      <c r="G4" s="1121" t="str">
        <f>'13-Credibility'!G4</f>
        <v/>
      </c>
    </row>
    <row r="5" spans="1:15">
      <c r="F5" s="1120" t="s">
        <v>787</v>
      </c>
      <c r="G5" s="1121" t="str">
        <f>'13-Credibility'!G5</f>
        <v/>
      </c>
    </row>
    <row r="6" spans="1:15">
      <c r="E6" s="330"/>
      <c r="F6" s="332"/>
    </row>
    <row r="7" spans="1:15" s="1051" customFormat="1">
      <c r="A7" s="1050"/>
      <c r="B7" s="1605" t="s">
        <v>511</v>
      </c>
      <c r="C7" s="1605"/>
      <c r="D7" s="1605"/>
      <c r="E7" s="1605"/>
      <c r="F7" s="1605"/>
      <c r="G7" s="1605"/>
      <c r="J7" s="1051" t="s">
        <v>167</v>
      </c>
    </row>
    <row r="8" spans="1:15" s="1051" customFormat="1">
      <c r="A8" s="1050"/>
      <c r="B8" s="1605"/>
      <c r="C8" s="1605"/>
      <c r="D8" s="1605"/>
      <c r="E8" s="1605"/>
      <c r="F8" s="1605"/>
      <c r="G8" s="1605"/>
      <c r="J8" s="1051" t="s">
        <v>168</v>
      </c>
    </row>
    <row r="9" spans="1:15">
      <c r="E9" s="330"/>
      <c r="F9" s="332"/>
      <c r="G9"/>
    </row>
    <row r="10" spans="1:15" ht="45">
      <c r="B10" s="1210" t="s">
        <v>906</v>
      </c>
      <c r="C10" s="1207" t="s">
        <v>907</v>
      </c>
      <c r="D10" s="1207" t="s">
        <v>908</v>
      </c>
      <c r="E10" s="346" t="s">
        <v>182</v>
      </c>
      <c r="F10" s="346" t="s">
        <v>181</v>
      </c>
      <c r="G10" s="346" t="s">
        <v>540</v>
      </c>
      <c r="H10" s="164"/>
      <c r="I10" s="129" t="s">
        <v>111</v>
      </c>
      <c r="J10" s="601" t="s">
        <v>592</v>
      </c>
      <c r="K10" s="601" t="s">
        <v>182</v>
      </c>
      <c r="L10" s="601" t="s">
        <v>796</v>
      </c>
      <c r="M10" s="601" t="s">
        <v>797</v>
      </c>
      <c r="N10" s="601" t="s">
        <v>799</v>
      </c>
      <c r="O10" s="602" t="s">
        <v>798</v>
      </c>
    </row>
    <row r="11" spans="1:15">
      <c r="B11" s="1237" t="s">
        <v>111</v>
      </c>
      <c r="C11" s="784"/>
      <c r="D11" s="785"/>
      <c r="E11" s="1046"/>
      <c r="F11" s="1046"/>
      <c r="G11" s="1052"/>
      <c r="H11" s="164"/>
      <c r="I11" s="164" t="s">
        <v>151</v>
      </c>
      <c r="J11" s="782" t="str">
        <f>IF(NOT(B11=$I$10),"TRUE","FALSE")</f>
        <v>FALSE</v>
      </c>
      <c r="K11" s="782">
        <f>IF(E11="Yes",1,0)</f>
        <v>0</v>
      </c>
      <c r="L11" s="783">
        <f>IF(F11="Yes",1,0)</f>
        <v>0</v>
      </c>
      <c r="M11" s="783">
        <f>IF(G11="Yes",1,0)</f>
        <v>0</v>
      </c>
      <c r="N11">
        <f>L11+M11</f>
        <v>0</v>
      </c>
      <c r="O11">
        <f>IF(AND(J11="TRUE",N11=0),1,0)</f>
        <v>0</v>
      </c>
    </row>
    <row r="12" spans="1:15">
      <c r="B12" s="1238" t="s">
        <v>111</v>
      </c>
      <c r="C12" s="786"/>
      <c r="D12" s="787"/>
      <c r="E12" s="1047"/>
      <c r="F12" s="1047"/>
      <c r="G12" s="1053"/>
      <c r="H12" s="164"/>
      <c r="I12" s="164" t="s">
        <v>152</v>
      </c>
      <c r="J12" s="1209" t="str">
        <f t="shared" ref="J12:J17" si="0">IF(NOT(B12=$I$10),"TRUE","FALSE")</f>
        <v>FALSE</v>
      </c>
      <c r="K12" s="1040">
        <f t="shared" ref="K12:K24" si="1">IF(E12="Yes",1,0)</f>
        <v>0</v>
      </c>
      <c r="L12" s="1041">
        <f t="shared" ref="L12:L24" si="2">IF(F12="Yes",1,0)</f>
        <v>0</v>
      </c>
      <c r="M12" s="1041">
        <f t="shared" ref="M12:M24" si="3">IF(G12="Yes",1,0)</f>
        <v>0</v>
      </c>
      <c r="N12" s="496">
        <f t="shared" ref="N12:N24" si="4">L12+M12</f>
        <v>0</v>
      </c>
      <c r="O12" s="963">
        <f t="shared" ref="O12:O24" si="5">IF(AND(J12="TRUE",N12=0),1,0)</f>
        <v>0</v>
      </c>
    </row>
    <row r="13" spans="1:15">
      <c r="B13" s="1239" t="s">
        <v>111</v>
      </c>
      <c r="C13" s="788"/>
      <c r="D13" s="789"/>
      <c r="E13" s="1048"/>
      <c r="F13" s="1048"/>
      <c r="G13" s="1054"/>
      <c r="H13" s="164"/>
      <c r="I13" s="164" t="s">
        <v>153</v>
      </c>
      <c r="J13" s="1209" t="str">
        <f t="shared" si="0"/>
        <v>FALSE</v>
      </c>
      <c r="K13" s="1040">
        <f t="shared" si="1"/>
        <v>0</v>
      </c>
      <c r="L13" s="1041">
        <f t="shared" si="2"/>
        <v>0</v>
      </c>
      <c r="M13" s="1041">
        <f t="shared" si="3"/>
        <v>0</v>
      </c>
      <c r="N13" s="496">
        <f t="shared" si="4"/>
        <v>0</v>
      </c>
      <c r="O13" s="963">
        <f t="shared" si="5"/>
        <v>0</v>
      </c>
    </row>
    <row r="14" spans="1:15">
      <c r="B14" s="1238" t="s">
        <v>111</v>
      </c>
      <c r="C14" s="786"/>
      <c r="D14" s="787"/>
      <c r="E14" s="1047"/>
      <c r="F14" s="1047"/>
      <c r="G14" s="1053"/>
      <c r="H14" s="164"/>
      <c r="I14" s="293" t="s">
        <v>468</v>
      </c>
      <c r="J14" s="1209" t="str">
        <f t="shared" si="0"/>
        <v>FALSE</v>
      </c>
      <c r="K14" s="1040">
        <f t="shared" si="1"/>
        <v>0</v>
      </c>
      <c r="L14" s="1041">
        <f t="shared" si="2"/>
        <v>0</v>
      </c>
      <c r="M14" s="1041">
        <f t="shared" si="3"/>
        <v>0</v>
      </c>
      <c r="N14" s="496">
        <f t="shared" si="4"/>
        <v>0</v>
      </c>
      <c r="O14" s="963">
        <f t="shared" si="5"/>
        <v>0</v>
      </c>
    </row>
    <row r="15" spans="1:15">
      <c r="B15" s="1239" t="s">
        <v>111</v>
      </c>
      <c r="C15" s="788"/>
      <c r="D15" s="789"/>
      <c r="E15" s="1048"/>
      <c r="F15" s="1048"/>
      <c r="G15" s="1054"/>
      <c r="H15" s="164"/>
      <c r="I15" s="293" t="s">
        <v>155</v>
      </c>
      <c r="J15" s="1209" t="str">
        <f t="shared" si="0"/>
        <v>FALSE</v>
      </c>
      <c r="K15" s="1040">
        <f t="shared" si="1"/>
        <v>0</v>
      </c>
      <c r="L15" s="1041">
        <f t="shared" si="2"/>
        <v>0</v>
      </c>
      <c r="M15" s="1041">
        <f t="shared" si="3"/>
        <v>0</v>
      </c>
      <c r="N15" s="496">
        <f t="shared" si="4"/>
        <v>0</v>
      </c>
      <c r="O15" s="963">
        <f t="shared" si="5"/>
        <v>0</v>
      </c>
    </row>
    <row r="16" spans="1:15">
      <c r="B16" s="1238" t="s">
        <v>111</v>
      </c>
      <c r="C16" s="786"/>
      <c r="D16" s="787"/>
      <c r="E16" s="1047"/>
      <c r="F16" s="1047"/>
      <c r="G16" s="1053"/>
      <c r="H16" s="164"/>
      <c r="I16" s="293" t="s">
        <v>154</v>
      </c>
      <c r="J16" s="1209" t="str">
        <f t="shared" si="0"/>
        <v>FALSE</v>
      </c>
      <c r="K16" s="1040">
        <f t="shared" si="1"/>
        <v>0</v>
      </c>
      <c r="L16" s="1041">
        <f t="shared" si="2"/>
        <v>0</v>
      </c>
      <c r="M16" s="1041">
        <f t="shared" si="3"/>
        <v>0</v>
      </c>
      <c r="N16" s="496">
        <f t="shared" si="4"/>
        <v>0</v>
      </c>
      <c r="O16" s="963">
        <f t="shared" si="5"/>
        <v>0</v>
      </c>
    </row>
    <row r="17" spans="1:15">
      <c r="B17" s="1239" t="s">
        <v>111</v>
      </c>
      <c r="C17" s="788"/>
      <c r="D17" s="789"/>
      <c r="E17" s="1048"/>
      <c r="F17" s="1048"/>
      <c r="G17" s="1054"/>
      <c r="H17" s="164"/>
      <c r="I17" s="293" t="s">
        <v>512</v>
      </c>
      <c r="J17" s="1209" t="str">
        <f t="shared" si="0"/>
        <v>FALSE</v>
      </c>
      <c r="K17" s="1040">
        <f t="shared" si="1"/>
        <v>0</v>
      </c>
      <c r="L17" s="1041">
        <f t="shared" si="2"/>
        <v>0</v>
      </c>
      <c r="M17" s="1041">
        <f t="shared" si="3"/>
        <v>0</v>
      </c>
      <c r="N17" s="496">
        <f t="shared" si="4"/>
        <v>0</v>
      </c>
      <c r="O17" s="963">
        <f t="shared" si="5"/>
        <v>0</v>
      </c>
    </row>
    <row r="18" spans="1:15">
      <c r="B18" s="1238"/>
      <c r="C18" s="786"/>
      <c r="D18" s="787"/>
      <c r="E18" s="1047"/>
      <c r="F18" s="1047"/>
      <c r="G18" s="1053"/>
      <c r="H18" s="164"/>
      <c r="I18" s="164"/>
      <c r="J18" s="1209" t="str">
        <f>IF(B18="","FALSE","TRUE")</f>
        <v>FALSE</v>
      </c>
      <c r="K18" s="1040">
        <f t="shared" si="1"/>
        <v>0</v>
      </c>
      <c r="L18" s="1041">
        <f t="shared" si="2"/>
        <v>0</v>
      </c>
      <c r="M18" s="1041">
        <f t="shared" si="3"/>
        <v>0</v>
      </c>
      <c r="N18" s="496">
        <f t="shared" si="4"/>
        <v>0</v>
      </c>
      <c r="O18" s="963">
        <f t="shared" si="5"/>
        <v>0</v>
      </c>
    </row>
    <row r="19" spans="1:15">
      <c r="B19" s="1239"/>
      <c r="C19" s="788"/>
      <c r="D19" s="789"/>
      <c r="E19" s="1048"/>
      <c r="F19" s="1048"/>
      <c r="G19" s="1054"/>
      <c r="H19" s="164"/>
      <c r="I19" s="164"/>
      <c r="J19" s="1209" t="str">
        <f t="shared" ref="J19:J24" si="6">IF(B19="","FALSE","TRUE")</f>
        <v>FALSE</v>
      </c>
      <c r="K19" s="1040">
        <f t="shared" si="1"/>
        <v>0</v>
      </c>
      <c r="L19" s="1041">
        <f t="shared" si="2"/>
        <v>0</v>
      </c>
      <c r="M19" s="1041">
        <f t="shared" si="3"/>
        <v>0</v>
      </c>
      <c r="N19" s="496">
        <f t="shared" si="4"/>
        <v>0</v>
      </c>
      <c r="O19" s="963">
        <f t="shared" si="5"/>
        <v>0</v>
      </c>
    </row>
    <row r="20" spans="1:15">
      <c r="B20" s="1238"/>
      <c r="C20" s="786"/>
      <c r="D20" s="787"/>
      <c r="E20" s="1047"/>
      <c r="F20" s="1047"/>
      <c r="G20" s="1053"/>
      <c r="H20" s="164"/>
      <c r="I20" s="164"/>
      <c r="J20" s="1209" t="str">
        <f t="shared" si="6"/>
        <v>FALSE</v>
      </c>
      <c r="K20" s="1040">
        <f t="shared" si="1"/>
        <v>0</v>
      </c>
      <c r="L20" s="1041">
        <f t="shared" si="2"/>
        <v>0</v>
      </c>
      <c r="M20" s="1041">
        <f t="shared" si="3"/>
        <v>0</v>
      </c>
      <c r="N20" s="496">
        <f t="shared" si="4"/>
        <v>0</v>
      </c>
      <c r="O20" s="963">
        <f t="shared" si="5"/>
        <v>0</v>
      </c>
    </row>
    <row r="21" spans="1:15">
      <c r="B21" s="1239"/>
      <c r="C21" s="788"/>
      <c r="D21" s="789"/>
      <c r="E21" s="1048"/>
      <c r="F21" s="1048"/>
      <c r="G21" s="1054"/>
      <c r="H21" s="164"/>
      <c r="I21" s="164"/>
      <c r="J21" s="1209" t="str">
        <f t="shared" si="6"/>
        <v>FALSE</v>
      </c>
      <c r="K21" s="1040">
        <f t="shared" si="1"/>
        <v>0</v>
      </c>
      <c r="L21" s="1041">
        <f t="shared" si="2"/>
        <v>0</v>
      </c>
      <c r="M21" s="1041">
        <f t="shared" si="3"/>
        <v>0</v>
      </c>
      <c r="N21" s="496">
        <f t="shared" si="4"/>
        <v>0</v>
      </c>
      <c r="O21" s="963">
        <f t="shared" si="5"/>
        <v>0</v>
      </c>
    </row>
    <row r="22" spans="1:15">
      <c r="B22" s="1238"/>
      <c r="C22" s="786"/>
      <c r="D22" s="787"/>
      <c r="E22" s="1047"/>
      <c r="F22" s="1047"/>
      <c r="G22" s="1053"/>
      <c r="H22" s="164"/>
      <c r="I22" s="164"/>
      <c r="J22" s="1209" t="str">
        <f t="shared" si="6"/>
        <v>FALSE</v>
      </c>
      <c r="K22" s="1040">
        <f t="shared" si="1"/>
        <v>0</v>
      </c>
      <c r="L22" s="1041">
        <f t="shared" si="2"/>
        <v>0</v>
      </c>
      <c r="M22" s="1041">
        <f t="shared" si="3"/>
        <v>0</v>
      </c>
      <c r="N22" s="496">
        <f t="shared" si="4"/>
        <v>0</v>
      </c>
      <c r="O22" s="963">
        <f t="shared" si="5"/>
        <v>0</v>
      </c>
    </row>
    <row r="23" spans="1:15">
      <c r="B23" s="1239"/>
      <c r="C23" s="788"/>
      <c r="D23" s="789"/>
      <c r="E23" s="1048"/>
      <c r="F23" s="1048"/>
      <c r="G23" s="1054"/>
      <c r="H23" s="164"/>
      <c r="I23" s="164"/>
      <c r="J23" s="1209" t="str">
        <f t="shared" si="6"/>
        <v>FALSE</v>
      </c>
      <c r="K23" s="1040">
        <f t="shared" si="1"/>
        <v>0</v>
      </c>
      <c r="L23" s="1041">
        <f t="shared" si="2"/>
        <v>0</v>
      </c>
      <c r="M23" s="1041">
        <f t="shared" si="3"/>
        <v>0</v>
      </c>
      <c r="N23" s="496">
        <f t="shared" si="4"/>
        <v>0</v>
      </c>
      <c r="O23" s="963">
        <f t="shared" si="5"/>
        <v>0</v>
      </c>
    </row>
    <row r="24" spans="1:15">
      <c r="B24" s="1240"/>
      <c r="C24" s="790"/>
      <c r="D24" s="791"/>
      <c r="E24" s="1049"/>
      <c r="F24" s="1049"/>
      <c r="G24" s="1055"/>
      <c r="H24" s="164"/>
      <c r="I24" s="164"/>
      <c r="J24" s="1209" t="str">
        <f t="shared" si="6"/>
        <v>FALSE</v>
      </c>
      <c r="K24" s="1040">
        <f t="shared" si="1"/>
        <v>0</v>
      </c>
      <c r="L24" s="1041">
        <f t="shared" si="2"/>
        <v>0</v>
      </c>
      <c r="M24" s="1041">
        <f t="shared" si="3"/>
        <v>0</v>
      </c>
      <c r="N24" s="496">
        <f t="shared" si="4"/>
        <v>0</v>
      </c>
      <c r="O24" s="963">
        <f t="shared" si="5"/>
        <v>0</v>
      </c>
    </row>
    <row r="25" spans="1:15">
      <c r="G25"/>
      <c r="J25" s="498" t="e">
        <f>J11+J12+J13+J14+J15+J16+J17+J18+J19+J20+J21+J22+J23+J24</f>
        <v>#VALUE!</v>
      </c>
      <c r="K25" s="498"/>
      <c r="L25" s="498">
        <f>SUM(L11:L24)</f>
        <v>0</v>
      </c>
      <c r="M25" s="498">
        <f t="shared" ref="M25" si="7">SUM(M11:M24)</f>
        <v>0</v>
      </c>
      <c r="O25">
        <f>SUM(O11:O24)</f>
        <v>0</v>
      </c>
    </row>
    <row r="26" spans="1:15">
      <c r="A26" s="157">
        <v>-1</v>
      </c>
      <c r="B26" s="1304" t="s">
        <v>738</v>
      </c>
      <c r="C26" s="1305"/>
      <c r="D26" s="1305"/>
      <c r="E26" s="1305"/>
      <c r="F26" s="1305"/>
      <c r="G26" s="1306"/>
    </row>
    <row r="27" spans="1:15" s="963" customFormat="1">
      <c r="A27" s="157"/>
      <c r="B27" s="1310"/>
      <c r="C27" s="1311"/>
      <c r="D27" s="1311"/>
      <c r="E27" s="1311"/>
      <c r="F27" s="1311"/>
      <c r="G27" s="1312"/>
    </row>
    <row r="28" spans="1:15">
      <c r="B28" s="1298"/>
      <c r="C28" s="1525"/>
      <c r="D28" s="1525"/>
      <c r="E28" s="1525"/>
      <c r="F28" s="1525"/>
      <c r="G28" s="1526"/>
    </row>
    <row r="29" spans="1:15">
      <c r="B29" s="1524"/>
      <c r="C29" s="1525"/>
      <c r="D29" s="1525"/>
      <c r="E29" s="1525"/>
      <c r="F29" s="1525"/>
      <c r="G29" s="1526"/>
    </row>
    <row r="30" spans="1:15">
      <c r="B30" s="1289"/>
      <c r="C30" s="1290"/>
      <c r="D30" s="1290"/>
      <c r="E30" s="1290"/>
      <c r="F30" s="1290"/>
      <c r="G30" s="1527"/>
    </row>
    <row r="31" spans="1:15" s="963" customFormat="1">
      <c r="A31" s="157"/>
      <c r="J31" s="498"/>
      <c r="K31" s="498"/>
      <c r="L31" s="498"/>
      <c r="M31" s="498"/>
    </row>
    <row r="32" spans="1:15">
      <c r="A32" s="157">
        <f>A26-1</f>
        <v>-2</v>
      </c>
      <c r="B32" s="1616" t="s">
        <v>739</v>
      </c>
      <c r="C32" s="1617"/>
      <c r="D32" s="1617"/>
      <c r="E32" s="1617"/>
      <c r="F32" s="1617"/>
      <c r="G32" s="1618"/>
    </row>
    <row r="33" spans="1:11">
      <c r="B33" s="1362"/>
      <c r="C33" s="1363"/>
      <c r="D33" s="1363"/>
      <c r="E33" s="1363"/>
      <c r="F33" s="1363"/>
      <c r="G33" s="1364"/>
    </row>
    <row r="34" spans="1:11">
      <c r="B34" s="1298"/>
      <c r="C34" s="1299"/>
      <c r="D34" s="1299"/>
      <c r="E34" s="1299"/>
      <c r="F34" s="1299"/>
      <c r="G34" s="1300"/>
    </row>
    <row r="35" spans="1:11">
      <c r="B35" s="1298"/>
      <c r="C35" s="1299"/>
      <c r="D35" s="1299"/>
      <c r="E35" s="1299"/>
      <c r="F35" s="1299"/>
      <c r="G35" s="1300"/>
    </row>
    <row r="36" spans="1:11">
      <c r="B36" s="1301"/>
      <c r="C36" s="1302"/>
      <c r="D36" s="1302"/>
      <c r="E36" s="1302"/>
      <c r="F36" s="1302"/>
      <c r="G36" s="1303"/>
    </row>
    <row r="38" spans="1:11">
      <c r="A38" s="157">
        <f>A32-1</f>
        <v>-3</v>
      </c>
      <c r="B38" s="1304" t="s">
        <v>737</v>
      </c>
      <c r="C38" s="1305"/>
      <c r="D38" s="1305"/>
      <c r="E38" s="1305"/>
      <c r="F38" s="1619"/>
      <c r="G38" s="971"/>
    </row>
    <row r="39" spans="1:11" s="963" customFormat="1" ht="14.45" customHeight="1">
      <c r="A39" s="157"/>
      <c r="B39" s="1613" t="s">
        <v>863</v>
      </c>
      <c r="C39" s="1620"/>
      <c r="D39" s="1620"/>
      <c r="E39" s="1620"/>
      <c r="F39" s="1620"/>
      <c r="G39" s="1621"/>
    </row>
    <row r="40" spans="1:11">
      <c r="A40" s="157">
        <f>A38-1</f>
        <v>-4</v>
      </c>
      <c r="B40" s="1201" t="s">
        <v>632</v>
      </c>
      <c r="C40" s="164"/>
      <c r="D40" s="164"/>
      <c r="E40" s="164"/>
      <c r="F40" s="164"/>
      <c r="G40" s="1202"/>
    </row>
    <row r="41" spans="1:11">
      <c r="B41" s="1362"/>
      <c r="C41" s="1522"/>
      <c r="D41" s="1522"/>
      <c r="E41" s="1522"/>
      <c r="F41" s="1522"/>
      <c r="G41" s="1523"/>
    </row>
    <row r="42" spans="1:11">
      <c r="B42" s="1524"/>
      <c r="C42" s="1525"/>
      <c r="D42" s="1525"/>
      <c r="E42" s="1525"/>
      <c r="F42" s="1525"/>
      <c r="G42" s="1526"/>
    </row>
    <row r="43" spans="1:11">
      <c r="B43" s="1289"/>
      <c r="C43" s="1290"/>
      <c r="D43" s="1290"/>
      <c r="E43" s="1290"/>
      <c r="F43" s="1290"/>
      <c r="G43" s="1527"/>
    </row>
    <row r="44" spans="1:11">
      <c r="B44" s="277"/>
    </row>
    <row r="45" spans="1:11">
      <c r="A45" s="157">
        <f>A40-1</f>
        <v>-5</v>
      </c>
      <c r="B45" s="1304" t="s">
        <v>156</v>
      </c>
      <c r="C45" s="1305"/>
      <c r="D45" s="1305"/>
      <c r="E45" s="1305"/>
      <c r="F45" s="1619"/>
      <c r="G45" s="848"/>
    </row>
    <row r="46" spans="1:11" s="963" customFormat="1" ht="14.45" customHeight="1">
      <c r="A46" s="157"/>
      <c r="B46" s="1613" t="s">
        <v>863</v>
      </c>
      <c r="C46" s="1614"/>
      <c r="D46" s="1614"/>
      <c r="E46" s="1614"/>
      <c r="F46" s="1614"/>
      <c r="G46" s="1615"/>
    </row>
    <row r="47" spans="1:11">
      <c r="A47" s="157">
        <f>A45-1</f>
        <v>-6</v>
      </c>
      <c r="B47" s="1203" t="s">
        <v>632</v>
      </c>
      <c r="C47" s="1177"/>
      <c r="D47" s="1177"/>
      <c r="E47" s="1177"/>
      <c r="F47" s="1177"/>
      <c r="G47" s="1178"/>
      <c r="H47" s="164"/>
      <c r="I47" s="164"/>
      <c r="J47" s="164"/>
      <c r="K47" s="164"/>
    </row>
    <row r="48" spans="1:11">
      <c r="B48" s="1298"/>
      <c r="C48" s="1525"/>
      <c r="D48" s="1525"/>
      <c r="E48" s="1525"/>
      <c r="F48" s="1525"/>
      <c r="G48" s="1526"/>
    </row>
    <row r="49" spans="1:7">
      <c r="B49" s="1524"/>
      <c r="C49" s="1525"/>
      <c r="D49" s="1525"/>
      <c r="E49" s="1525"/>
      <c r="F49" s="1525"/>
      <c r="G49" s="1526"/>
    </row>
    <row r="50" spans="1:7">
      <c r="B50" s="1289"/>
      <c r="C50" s="1290"/>
      <c r="D50" s="1290"/>
      <c r="E50" s="1290"/>
      <c r="F50" s="1290"/>
      <c r="G50" s="1527"/>
    </row>
    <row r="52" spans="1:7" ht="14.45" customHeight="1">
      <c r="A52" s="157">
        <f>A47-1</f>
        <v>-7</v>
      </c>
      <c r="B52" s="1411" t="s">
        <v>740</v>
      </c>
      <c r="C52" s="1481"/>
      <c r="D52" s="1481"/>
      <c r="E52" s="1481"/>
      <c r="F52" s="1481"/>
      <c r="G52" s="1482"/>
    </row>
    <row r="53" spans="1:7">
      <c r="B53" s="1483"/>
      <c r="C53" s="1484"/>
      <c r="D53" s="1484"/>
      <c r="E53" s="1484"/>
      <c r="F53" s="1484"/>
      <c r="G53" s="1485"/>
    </row>
    <row r="54" spans="1:7">
      <c r="B54" s="1298"/>
      <c r="C54" s="1606"/>
      <c r="D54" s="1606"/>
      <c r="E54" s="1606"/>
      <c r="F54" s="1606"/>
      <c r="G54" s="1607"/>
    </row>
    <row r="55" spans="1:7">
      <c r="B55" s="1608"/>
      <c r="C55" s="1609"/>
      <c r="D55" s="1609"/>
      <c r="E55" s="1609"/>
      <c r="F55" s="1609"/>
      <c r="G55" s="1607"/>
    </row>
    <row r="56" spans="1:7">
      <c r="B56" s="1608"/>
      <c r="C56" s="1609"/>
      <c r="D56" s="1609"/>
      <c r="E56" s="1609"/>
      <c r="F56" s="1609"/>
      <c r="G56" s="1607"/>
    </row>
    <row r="57" spans="1:7">
      <c r="B57" s="1610"/>
      <c r="C57" s="1611"/>
      <c r="D57" s="1611"/>
      <c r="E57" s="1611"/>
      <c r="F57" s="1611"/>
      <c r="G57" s="1612"/>
    </row>
  </sheetData>
  <sheetProtection sheet="1" objects="1" scenarios="1"/>
  <mergeCells count="13">
    <mergeCell ref="B48:G50"/>
    <mergeCell ref="B33:G36"/>
    <mergeCell ref="B7:G8"/>
    <mergeCell ref="B54:G57"/>
    <mergeCell ref="B52:G53"/>
    <mergeCell ref="B28:G30"/>
    <mergeCell ref="B41:G43"/>
    <mergeCell ref="B46:G46"/>
    <mergeCell ref="B26:G27"/>
    <mergeCell ref="B32:G32"/>
    <mergeCell ref="B38:F38"/>
    <mergeCell ref="B39:G39"/>
    <mergeCell ref="B45:F45"/>
  </mergeCells>
  <conditionalFormatting sqref="B11:G24">
    <cfRule type="expression" dxfId="19" priority="2">
      <formula>$B$11=$I$10</formula>
    </cfRule>
  </conditionalFormatting>
  <conditionalFormatting sqref="C11:G24">
    <cfRule type="expression" dxfId="18" priority="1">
      <formula>AND($J11="TRUE",C11="")</formula>
    </cfRule>
  </conditionalFormatting>
  <conditionalFormatting sqref="G38 B33 B41 B48 G45">
    <cfRule type="expression" dxfId="17" priority="25">
      <formula>AND($M$25&gt;0,B33="")</formula>
    </cfRule>
  </conditionalFormatting>
  <conditionalFormatting sqref="G38 G45">
    <cfRule type="expression" dxfId="16" priority="30">
      <formula>AND($M$25=TRUE,$G38="")</formula>
    </cfRule>
  </conditionalFormatting>
  <conditionalFormatting sqref="B28:G30">
    <cfRule type="expression" dxfId="15" priority="48">
      <formula>AND($L$25&gt;0,$B$28="")</formula>
    </cfRule>
  </conditionalFormatting>
  <conditionalFormatting sqref="B54">
    <cfRule type="expression" dxfId="14" priority="50">
      <formula>AND($B$54="",$O$25&gt;0)</formula>
    </cfRule>
  </conditionalFormatting>
  <dataValidations count="2">
    <dataValidation type="list" showInputMessage="1" showErrorMessage="1" sqref="E11:G24">
      <formula1>$J$6:$J$8</formula1>
    </dataValidation>
    <dataValidation type="list" allowBlank="1" showInputMessage="1" showErrorMessage="1" sqref="B11:B17">
      <formula1>$I$10:$I$17</formula1>
    </dataValidation>
  </dataValidations>
  <printOptions horizontalCentered="1"/>
  <pageMargins left="0.25" right="0.5" top="0.5" bottom="0.5" header="0.3" footer="0.3"/>
  <pageSetup scale="85" orientation="portrait" r:id="rId1"/>
  <headerFooter>
    <oddFooter>&amp;LRevised 3/2013&amp;RPage &amp;P of &amp;N</oddFooter>
  </headerFooter>
</worksheet>
</file>

<file path=xl/worksheets/sheet27.xml><?xml version="1.0" encoding="utf-8"?>
<worksheet xmlns="http://schemas.openxmlformats.org/spreadsheetml/2006/main" xmlns:r="http://schemas.openxmlformats.org/officeDocument/2006/relationships">
  <sheetPr codeName="Sheet21">
    <pageSetUpPr fitToPage="1"/>
  </sheetPr>
  <dimension ref="A1:Q103"/>
  <sheetViews>
    <sheetView showGridLines="0" workbookViewId="0">
      <pane ySplit="5" topLeftCell="A6" activePane="bottomLeft" state="frozen"/>
      <selection pane="bottomLeft"/>
    </sheetView>
  </sheetViews>
  <sheetFormatPr defaultColWidth="8.85546875" defaultRowHeight="15"/>
  <cols>
    <col min="1" max="1" width="3.28515625" style="503" customWidth="1"/>
    <col min="2" max="3" width="10.7109375" style="503" customWidth="1"/>
    <col min="4" max="4" width="11.42578125" style="503" customWidth="1"/>
    <col min="5" max="5" width="11.5703125" style="503" customWidth="1"/>
    <col min="6" max="6" width="6.5703125" style="503" customWidth="1"/>
    <col min="7" max="7" width="19" style="503" customWidth="1"/>
    <col min="8" max="8" width="8.85546875" style="503"/>
    <col min="9" max="9" width="13.7109375" style="503" customWidth="1"/>
    <col min="10" max="16384" width="8.85546875" style="503"/>
  </cols>
  <sheetData>
    <row r="1" spans="1:17" ht="17.25">
      <c r="B1" s="504" t="str">
        <f>'13-Credibility'!B1</f>
        <v>Texas Department of Insurance</v>
      </c>
      <c r="I1" s="194" t="str">
        <f xml:space="preserve"> "Home - "&amp;MID(B4,9,2)</f>
        <v>Home - 15</v>
      </c>
    </row>
    <row r="2" spans="1:17" ht="17.25">
      <c r="B2" s="504" t="str">
        <f>'13-Credibility'!B2</f>
        <v>Property and Casualty Rate Filing Exhibits</v>
      </c>
    </row>
    <row r="4" spans="1:17" ht="15.75">
      <c r="B4" s="501" t="s">
        <v>502</v>
      </c>
      <c r="C4" s="1205"/>
      <c r="D4" s="1206"/>
      <c r="E4" s="505"/>
      <c r="H4" s="1120" t="s">
        <v>140</v>
      </c>
      <c r="I4" s="1121" t="str">
        <f>'14-Fees'!G4</f>
        <v/>
      </c>
    </row>
    <row r="5" spans="1:17">
      <c r="H5" s="1120" t="s">
        <v>787</v>
      </c>
      <c r="I5" s="1121" t="str">
        <f>'14-Fees'!G5</f>
        <v/>
      </c>
    </row>
    <row r="7" spans="1:17">
      <c r="B7" s="959" t="s">
        <v>779</v>
      </c>
    </row>
    <row r="9" spans="1:17">
      <c r="A9" s="506">
        <v>-1</v>
      </c>
      <c r="B9" s="1204" t="s">
        <v>864</v>
      </c>
      <c r="D9" s="1197"/>
      <c r="E9" s="446"/>
    </row>
    <row r="10" spans="1:17">
      <c r="A10" s="506">
        <f>A9-1</f>
        <v>-2</v>
      </c>
      <c r="B10" s="1204" t="s">
        <v>865</v>
      </c>
      <c r="D10" s="1198"/>
      <c r="E10" s="446"/>
    </row>
    <row r="11" spans="1:17">
      <c r="D11" s="507"/>
      <c r="G11" s="508"/>
      <c r="H11" s="508"/>
      <c r="I11" s="508"/>
      <c r="J11" s="508"/>
      <c r="K11" s="508"/>
      <c r="L11" s="508"/>
      <c r="M11" s="508"/>
      <c r="N11" s="508"/>
      <c r="O11" s="508"/>
      <c r="P11" s="508"/>
      <c r="Q11" s="508"/>
    </row>
    <row r="12" spans="1:17">
      <c r="B12" s="445">
        <f>A10-1</f>
        <v>-3</v>
      </c>
      <c r="C12" s="445">
        <f>B12-1</f>
        <v>-4</v>
      </c>
      <c r="D12" s="445">
        <f>C12-1</f>
        <v>-5</v>
      </c>
      <c r="E12" s="445">
        <f>D12-1</f>
        <v>-6</v>
      </c>
      <c r="G12" s="446">
        <f>E12-1</f>
        <v>-7</v>
      </c>
      <c r="H12" s="508"/>
      <c r="I12" s="508"/>
      <c r="J12" s="508"/>
      <c r="K12" s="508"/>
      <c r="L12" s="508"/>
      <c r="M12" s="508"/>
      <c r="N12" s="508"/>
      <c r="O12" s="508"/>
      <c r="P12" s="508"/>
      <c r="Q12" s="508"/>
    </row>
    <row r="13" spans="1:17" ht="14.45" customHeight="1">
      <c r="B13" s="1622" t="s">
        <v>93</v>
      </c>
      <c r="C13" s="1623"/>
      <c r="D13" s="999" t="s">
        <v>94</v>
      </c>
      <c r="E13" s="999" t="s">
        <v>95</v>
      </c>
      <c r="G13" s="1628" t="s">
        <v>866</v>
      </c>
      <c r="H13" s="1629"/>
      <c r="I13" s="1630"/>
      <c r="J13" s="509"/>
      <c r="K13" s="509"/>
      <c r="L13" s="509"/>
      <c r="M13" s="509"/>
      <c r="N13" s="509"/>
      <c r="O13" s="508"/>
      <c r="P13" s="508"/>
      <c r="Q13" s="508"/>
    </row>
    <row r="14" spans="1:17">
      <c r="B14" s="1030">
        <f>IF(D9="",-0.3,D9)</f>
        <v>-0.3</v>
      </c>
      <c r="C14" s="510">
        <v>-0.251</v>
      </c>
      <c r="D14" s="792"/>
      <c r="E14" s="511">
        <f>IFERROR(D14/$D$27,0)</f>
        <v>0</v>
      </c>
      <c r="G14" s="1631"/>
      <c r="H14" s="1632"/>
      <c r="I14" s="1633"/>
      <c r="J14" s="509"/>
      <c r="K14" s="509"/>
      <c r="L14" s="509"/>
      <c r="M14" s="509"/>
      <c r="N14" s="509"/>
      <c r="O14" s="508"/>
      <c r="P14" s="508"/>
      <c r="Q14" s="508"/>
    </row>
    <row r="15" spans="1:17">
      <c r="B15" s="68">
        <f>MAX($D$9,-0.25)</f>
        <v>-0.25</v>
      </c>
      <c r="C15" s="512">
        <v>-0.20100000000000001</v>
      </c>
      <c r="D15" s="793"/>
      <c r="E15" s="69">
        <f>IFERROR(D15/$D$27,0)</f>
        <v>0</v>
      </c>
      <c r="G15" s="1631"/>
      <c r="H15" s="1632"/>
      <c r="I15" s="1633"/>
      <c r="J15" s="513"/>
      <c r="K15" s="513"/>
      <c r="L15" s="513"/>
      <c r="M15" s="513"/>
      <c r="N15" s="513"/>
      <c r="O15" s="508"/>
      <c r="P15" s="508"/>
      <c r="Q15" s="508"/>
    </row>
    <row r="16" spans="1:17">
      <c r="B16" s="514">
        <f>MAX($D$9,-0.2)</f>
        <v>-0.2</v>
      </c>
      <c r="C16" s="515">
        <v>-0.151</v>
      </c>
      <c r="D16" s="794"/>
      <c r="E16" s="79">
        <f t="shared" ref="E16:E26" si="0">IFERROR(D16/$D$27,0)</f>
        <v>0</v>
      </c>
      <c r="G16" s="1634"/>
      <c r="H16" s="1635"/>
      <c r="I16" s="1636"/>
      <c r="J16" s="513"/>
      <c r="K16" s="513"/>
      <c r="L16" s="513"/>
      <c r="M16" s="513"/>
      <c r="N16" s="513"/>
      <c r="O16" s="508"/>
      <c r="P16" s="508"/>
      <c r="Q16" s="508"/>
    </row>
    <row r="17" spans="2:17">
      <c r="B17" s="68">
        <f>MAX($D$9,-0.15)</f>
        <v>-0.15</v>
      </c>
      <c r="C17" s="512">
        <v>-0.10100000000000001</v>
      </c>
      <c r="D17" s="793"/>
      <c r="E17" s="69">
        <f t="shared" si="0"/>
        <v>0</v>
      </c>
      <c r="G17" s="1637"/>
      <c r="H17" s="1638"/>
      <c r="I17" s="1639"/>
      <c r="J17" s="513"/>
      <c r="K17" s="513"/>
      <c r="L17" s="513"/>
      <c r="M17" s="513"/>
      <c r="N17" s="513"/>
      <c r="O17" s="508"/>
      <c r="P17" s="508"/>
      <c r="Q17" s="508"/>
    </row>
    <row r="18" spans="2:17">
      <c r="B18" s="514">
        <f>MAX($D$9,-0.1)</f>
        <v>-0.1</v>
      </c>
      <c r="C18" s="515">
        <v>-5.0999999999999997E-2</v>
      </c>
      <c r="D18" s="794"/>
      <c r="E18" s="79">
        <f t="shared" si="0"/>
        <v>0</v>
      </c>
      <c r="G18" s="1637"/>
      <c r="H18" s="1638"/>
      <c r="I18" s="1639"/>
      <c r="J18" s="513"/>
      <c r="K18" s="513"/>
      <c r="L18" s="513"/>
      <c r="M18" s="513"/>
      <c r="N18" s="513"/>
      <c r="O18" s="508"/>
      <c r="P18" s="508"/>
      <c r="Q18" s="508"/>
    </row>
    <row r="19" spans="2:17">
      <c r="B19" s="68">
        <f>MAX($D$9,-0.05)</f>
        <v>-0.05</v>
      </c>
      <c r="C19" s="512">
        <v>-1E-3</v>
      </c>
      <c r="D19" s="793"/>
      <c r="E19" s="69">
        <f t="shared" si="0"/>
        <v>0</v>
      </c>
      <c r="G19" s="1637"/>
      <c r="H19" s="1638"/>
      <c r="I19" s="1639"/>
      <c r="J19" s="513"/>
      <c r="K19" s="513"/>
      <c r="L19" s="513"/>
      <c r="M19" s="513"/>
      <c r="N19" s="513"/>
      <c r="O19" s="508"/>
      <c r="P19" s="508"/>
      <c r="Q19" s="508"/>
    </row>
    <row r="20" spans="2:17">
      <c r="B20" s="1624" t="s">
        <v>96</v>
      </c>
      <c r="C20" s="1625"/>
      <c r="D20" s="794"/>
      <c r="E20" s="79">
        <f t="shared" si="0"/>
        <v>0</v>
      </c>
      <c r="G20" s="1637"/>
      <c r="H20" s="1638"/>
      <c r="I20" s="1639"/>
      <c r="J20" s="513"/>
      <c r="K20" s="513"/>
      <c r="L20" s="513"/>
      <c r="M20" s="513"/>
      <c r="N20" s="513"/>
      <c r="O20" s="508"/>
      <c r="P20" s="508"/>
      <c r="Q20" s="508"/>
    </row>
    <row r="21" spans="2:17">
      <c r="B21" s="68">
        <v>1E-3</v>
      </c>
      <c r="C21" s="512">
        <f>MIN($D$10,0.05)</f>
        <v>0.05</v>
      </c>
      <c r="D21" s="793"/>
      <c r="E21" s="69">
        <f t="shared" si="0"/>
        <v>0</v>
      </c>
      <c r="G21" s="1637"/>
      <c r="H21" s="1638"/>
      <c r="I21" s="1639"/>
      <c r="J21" s="513"/>
      <c r="K21" s="513"/>
      <c r="L21" s="513"/>
      <c r="M21" s="513"/>
      <c r="N21" s="513"/>
      <c r="O21" s="508"/>
      <c r="P21" s="508"/>
      <c r="Q21" s="508"/>
    </row>
    <row r="22" spans="2:17">
      <c r="B22" s="514">
        <v>5.0999999999999997E-2</v>
      </c>
      <c r="C22" s="515">
        <f>MIN($D$10,0.1)</f>
        <v>0.1</v>
      </c>
      <c r="D22" s="794"/>
      <c r="E22" s="79">
        <f t="shared" si="0"/>
        <v>0</v>
      </c>
      <c r="G22" s="1637"/>
      <c r="H22" s="1638"/>
      <c r="I22" s="1639"/>
      <c r="J22" s="513"/>
      <c r="K22" s="513"/>
      <c r="L22" s="513"/>
      <c r="M22" s="513"/>
      <c r="N22" s="513"/>
      <c r="O22" s="508"/>
      <c r="P22" s="508"/>
      <c r="Q22" s="508"/>
    </row>
    <row r="23" spans="2:17">
      <c r="B23" s="68">
        <v>0.10100000000000001</v>
      </c>
      <c r="C23" s="512">
        <f>MIN($D$10,0.15)</f>
        <v>0.15</v>
      </c>
      <c r="D23" s="793"/>
      <c r="E23" s="69">
        <f t="shared" si="0"/>
        <v>0</v>
      </c>
      <c r="G23" s="1637"/>
      <c r="H23" s="1638"/>
      <c r="I23" s="1639"/>
      <c r="J23" s="508"/>
      <c r="K23" s="508"/>
      <c r="L23" s="508"/>
      <c r="M23" s="508"/>
      <c r="N23" s="508"/>
      <c r="O23" s="508"/>
      <c r="P23" s="508"/>
      <c r="Q23" s="508"/>
    </row>
    <row r="24" spans="2:17">
      <c r="B24" s="514">
        <v>0.151</v>
      </c>
      <c r="C24" s="515">
        <f>MIN($D$10,0.2)</f>
        <v>0.2</v>
      </c>
      <c r="D24" s="794"/>
      <c r="E24" s="79">
        <f t="shared" si="0"/>
        <v>0</v>
      </c>
      <c r="G24" s="1637"/>
      <c r="H24" s="1638"/>
      <c r="I24" s="1639"/>
      <c r="J24" s="508"/>
      <c r="K24" s="508"/>
      <c r="L24" s="508"/>
      <c r="M24" s="508"/>
      <c r="N24" s="508"/>
      <c r="O24" s="508"/>
      <c r="P24" s="508"/>
      <c r="Q24" s="508"/>
    </row>
    <row r="25" spans="2:17">
      <c r="B25" s="68">
        <v>0.20100000000000001</v>
      </c>
      <c r="C25" s="512">
        <f>MIN($D$10,0.25)</f>
        <v>0.25</v>
      </c>
      <c r="D25" s="793"/>
      <c r="E25" s="69">
        <f t="shared" si="0"/>
        <v>0</v>
      </c>
      <c r="G25" s="1637"/>
      <c r="H25" s="1638"/>
      <c r="I25" s="1639"/>
      <c r="J25" s="508"/>
      <c r="K25" s="508"/>
      <c r="L25" s="508"/>
      <c r="M25" s="508"/>
      <c r="N25" s="508"/>
      <c r="O25" s="508"/>
      <c r="P25" s="508"/>
      <c r="Q25" s="508"/>
    </row>
    <row r="26" spans="2:17">
      <c r="B26" s="516">
        <v>0.251</v>
      </c>
      <c r="C26" s="517">
        <f>IF(D10="",0.3,D10)</f>
        <v>0.3</v>
      </c>
      <c r="D26" s="795"/>
      <c r="E26" s="79">
        <f t="shared" si="0"/>
        <v>0</v>
      </c>
      <c r="G26" s="1637"/>
      <c r="H26" s="1638"/>
      <c r="I26" s="1639"/>
    </row>
    <row r="27" spans="2:17">
      <c r="B27" s="1626" t="s">
        <v>8</v>
      </c>
      <c r="C27" s="1627"/>
      <c r="D27" s="809">
        <f>SUM(D14:D26)</f>
        <v>0</v>
      </c>
      <c r="E27" s="518">
        <f>SUM(E14:E26)</f>
        <v>0</v>
      </c>
      <c r="G27" s="1640"/>
      <c r="H27" s="1641"/>
      <c r="I27" s="1642"/>
    </row>
    <row r="49" spans="1:9" ht="12" customHeight="1">
      <c r="B49" s="519" t="s">
        <v>158</v>
      </c>
      <c r="C49" s="520"/>
      <c r="D49" s="520"/>
      <c r="E49" s="520"/>
      <c r="F49" s="520"/>
      <c r="G49" s="520"/>
      <c r="H49" s="520"/>
      <c r="I49" s="520"/>
    </row>
    <row r="50" spans="1:9" ht="12" customHeight="1">
      <c r="A50" s="506">
        <f>A9</f>
        <v>-1</v>
      </c>
      <c r="B50" s="521" t="s">
        <v>145</v>
      </c>
    </row>
    <row r="51" spans="1:9" ht="12" customHeight="1">
      <c r="A51" s="506">
        <f>A50-1</f>
        <v>-2</v>
      </c>
      <c r="B51" s="521" t="s">
        <v>145</v>
      </c>
    </row>
    <row r="52" spans="1:9" ht="12" customHeight="1">
      <c r="A52" s="506">
        <f t="shared" ref="A52:A55" si="1">A51-1</f>
        <v>-3</v>
      </c>
      <c r="B52" s="503" t="s">
        <v>697</v>
      </c>
    </row>
    <row r="53" spans="1:9" ht="12" customHeight="1">
      <c r="A53" s="506">
        <f t="shared" si="1"/>
        <v>-4</v>
      </c>
      <c r="B53" s="503" t="s">
        <v>697</v>
      </c>
    </row>
    <row r="54" spans="1:9" ht="12" customHeight="1">
      <c r="A54" s="506">
        <f t="shared" si="1"/>
        <v>-5</v>
      </c>
      <c r="B54" s="521" t="s">
        <v>145</v>
      </c>
    </row>
    <row r="55" spans="1:9" ht="12" customHeight="1">
      <c r="A55" s="506">
        <f t="shared" si="1"/>
        <v>-6</v>
      </c>
      <c r="B55" s="522" t="s">
        <v>777</v>
      </c>
    </row>
    <row r="91" spans="3:3">
      <c r="C91" s="972">
        <f>IF(D9="",-0.3,IF(D9&gt;-0.3,-0.3,D9))</f>
        <v>-0.3</v>
      </c>
    </row>
    <row r="92" spans="3:3">
      <c r="C92" s="972">
        <v>-0.25</v>
      </c>
    </row>
    <row r="93" spans="3:3">
      <c r="C93" s="972">
        <v>-0.2</v>
      </c>
    </row>
    <row r="94" spans="3:3">
      <c r="C94" s="972">
        <v>-0.15</v>
      </c>
    </row>
    <row r="95" spans="3:3">
      <c r="C95" s="972">
        <v>-0.1</v>
      </c>
    </row>
    <row r="96" spans="3:3">
      <c r="C96" s="972">
        <v>-0.05</v>
      </c>
    </row>
    <row r="97" spans="3:3">
      <c r="C97" s="972">
        <v>0</v>
      </c>
    </row>
    <row r="98" spans="3:3">
      <c r="C98" s="972">
        <v>0.05</v>
      </c>
    </row>
    <row r="99" spans="3:3">
      <c r="C99" s="972">
        <v>0.1</v>
      </c>
    </row>
    <row r="100" spans="3:3">
      <c r="C100" s="972">
        <v>0.15</v>
      </c>
    </row>
    <row r="101" spans="3:3">
      <c r="C101" s="972">
        <v>0.2</v>
      </c>
    </row>
    <row r="102" spans="3:3">
      <c r="C102" s="972">
        <v>0.25</v>
      </c>
    </row>
    <row r="103" spans="3:3">
      <c r="C103" s="972">
        <f>IF(D10="",0.3,IF(D10&lt;0.3,0.3,D10))</f>
        <v>0.3</v>
      </c>
    </row>
  </sheetData>
  <sheetProtection sheet="1" objects="1" scenarios="1"/>
  <sortState ref="B12:E24">
    <sortCondition ref="B12:B24"/>
  </sortState>
  <mergeCells count="5">
    <mergeCell ref="B13:C13"/>
    <mergeCell ref="B20:C20"/>
    <mergeCell ref="B27:C27"/>
    <mergeCell ref="G13:I16"/>
    <mergeCell ref="G17:I27"/>
  </mergeCells>
  <conditionalFormatting sqref="D9:D10">
    <cfRule type="expression" dxfId="13" priority="7">
      <formula>$D9=""</formula>
    </cfRule>
  </conditionalFormatting>
  <conditionalFormatting sqref="D14:D26">
    <cfRule type="expression" dxfId="12" priority="6">
      <formula>$D$20=""</formula>
    </cfRule>
  </conditionalFormatting>
  <conditionalFormatting sqref="B14:E19">
    <cfRule type="expression" dxfId="11" priority="5">
      <formula>$B14&gt;$C14</formula>
    </cfRule>
  </conditionalFormatting>
  <conditionalFormatting sqref="B21:E26">
    <cfRule type="expression" dxfId="10" priority="4">
      <formula>$B21&gt;$C21</formula>
    </cfRule>
  </conditionalFormatting>
  <conditionalFormatting sqref="G13">
    <cfRule type="expression" dxfId="9" priority="2">
      <formula>OR($D$9&lt;-0.25,$D$10&gt;0.25)</formula>
    </cfRule>
  </conditionalFormatting>
  <conditionalFormatting sqref="G17:I27">
    <cfRule type="expression" dxfId="8" priority="1">
      <formula>AND($G$17="",OR($D$9&lt;-0.25,$D$10&gt;0.25))</formula>
    </cfRule>
  </conditionalFormatting>
  <printOptions horizontalCentered="1"/>
  <pageMargins left="0.5" right="0.5" top="0.5" bottom="0.5" header="0.3" footer="0.3"/>
  <pageSetup scale="91" orientation="portrait" r:id="rId1"/>
  <headerFooter>
    <oddFooter>&amp;LRevised 3/2013&amp;RPage &amp;P of &amp;N</oddFooter>
  </headerFooter>
  <drawing r:id="rId2"/>
</worksheet>
</file>

<file path=xl/worksheets/sheet28.xml><?xml version="1.0" encoding="utf-8"?>
<worksheet xmlns="http://schemas.openxmlformats.org/spreadsheetml/2006/main" xmlns:r="http://schemas.openxmlformats.org/officeDocument/2006/relationships">
  <sheetPr codeName="Sheet28"/>
  <dimension ref="A1:E518"/>
  <sheetViews>
    <sheetView showGridLines="0" workbookViewId="0"/>
  </sheetViews>
  <sheetFormatPr defaultColWidth="9.140625" defaultRowHeight="15"/>
  <cols>
    <col min="1" max="1" width="20.7109375" style="390" customWidth="1"/>
    <col min="2" max="2" width="25.42578125" style="390" customWidth="1"/>
    <col min="3" max="3" width="22.7109375" style="389" customWidth="1"/>
    <col min="4" max="4" width="20.7109375" style="362" customWidth="1"/>
    <col min="5" max="5" width="14.140625" style="362" customWidth="1"/>
    <col min="6" max="16384" width="9.140625" style="362"/>
  </cols>
  <sheetData>
    <row r="1" spans="1:5" ht="17.25">
      <c r="A1" s="361" t="str">
        <f>'D-Historical Experience'!B1</f>
        <v>Texas Department of Insurance</v>
      </c>
      <c r="B1" s="362"/>
      <c r="C1" s="362"/>
      <c r="D1" s="190" t="str">
        <f xml:space="preserve"> "Home - "&amp;MID(A4,9,2)</f>
        <v>Home - 16</v>
      </c>
    </row>
    <row r="2" spans="1:5" ht="17.25">
      <c r="A2" s="361" t="str">
        <f>'D-Historical Experience'!B2</f>
        <v>Property and Casualty Rate Filing Exhibits</v>
      </c>
      <c r="B2" s="362"/>
      <c r="C2" s="362"/>
    </row>
    <row r="3" spans="1:5">
      <c r="A3" s="362"/>
      <c r="B3" s="362"/>
      <c r="C3" s="362"/>
    </row>
    <row r="4" spans="1:5" ht="15.75">
      <c r="A4" s="1643" t="s">
        <v>800</v>
      </c>
      <c r="B4" s="1644"/>
      <c r="C4" s="330" t="s">
        <v>140</v>
      </c>
      <c r="D4" s="967" t="str">
        <f>'15-Policyholder Impact'!I4</f>
        <v/>
      </c>
    </row>
    <row r="5" spans="1:5">
      <c r="A5" s="363"/>
      <c r="B5" s="363"/>
      <c r="C5" s="330" t="s">
        <v>787</v>
      </c>
      <c r="D5" s="967" t="str">
        <f>'15-Policyholder Impact'!I5</f>
        <v/>
      </c>
    </row>
    <row r="6" spans="1:5">
      <c r="A6" s="363"/>
      <c r="B6" s="363"/>
      <c r="C6" s="363"/>
      <c r="D6" s="330"/>
      <c r="E6" s="332"/>
    </row>
    <row r="7" spans="1:5">
      <c r="A7" s="959" t="s">
        <v>779</v>
      </c>
      <c r="B7" s="363"/>
      <c r="C7" s="363"/>
      <c r="D7" s="330"/>
      <c r="E7" s="332"/>
    </row>
    <row r="8" spans="1:5">
      <c r="A8" s="363"/>
      <c r="B8" s="363"/>
      <c r="C8" s="363"/>
      <c r="D8" s="363"/>
      <c r="E8" s="332"/>
    </row>
    <row r="9" spans="1:5" ht="30">
      <c r="A9" s="405" t="s">
        <v>33</v>
      </c>
      <c r="B9" s="406" t="s">
        <v>638</v>
      </c>
      <c r="C9" s="407" t="s">
        <v>183</v>
      </c>
      <c r="D9" s="467" t="s">
        <v>801</v>
      </c>
    </row>
    <row r="10" spans="1:5">
      <c r="A10" s="391">
        <v>1</v>
      </c>
      <c r="B10" s="364">
        <v>1</v>
      </c>
      <c r="C10" s="365" t="s">
        <v>184</v>
      </c>
      <c r="D10" s="796"/>
    </row>
    <row r="11" spans="1:5">
      <c r="A11" s="408">
        <v>2</v>
      </c>
      <c r="B11" s="409">
        <v>8</v>
      </c>
      <c r="C11" s="410" t="s">
        <v>185</v>
      </c>
      <c r="D11" s="797"/>
    </row>
    <row r="12" spans="1:5">
      <c r="A12" s="392">
        <v>3</v>
      </c>
      <c r="B12" s="366">
        <v>9</v>
      </c>
      <c r="C12" s="367" t="s">
        <v>186</v>
      </c>
      <c r="D12" s="798"/>
    </row>
    <row r="13" spans="1:5">
      <c r="A13" s="393">
        <v>4</v>
      </c>
      <c r="B13" s="368">
        <v>10</v>
      </c>
      <c r="C13" s="369" t="s">
        <v>187</v>
      </c>
      <c r="D13" s="799"/>
    </row>
    <row r="14" spans="1:5">
      <c r="A14" s="394">
        <v>5</v>
      </c>
      <c r="B14" s="370">
        <v>10</v>
      </c>
      <c r="C14" s="371" t="s">
        <v>188</v>
      </c>
      <c r="D14" s="800"/>
    </row>
    <row r="15" spans="1:5">
      <c r="A15" s="394">
        <v>6</v>
      </c>
      <c r="B15" s="370">
        <v>10</v>
      </c>
      <c r="C15" s="371" t="s">
        <v>189</v>
      </c>
      <c r="D15" s="800"/>
    </row>
    <row r="16" spans="1:5">
      <c r="A16" s="394">
        <v>7</v>
      </c>
      <c r="B16" s="370">
        <v>10</v>
      </c>
      <c r="C16" s="371" t="s">
        <v>190</v>
      </c>
      <c r="D16" s="800"/>
    </row>
    <row r="17" spans="1:4">
      <c r="A17" s="394">
        <v>8</v>
      </c>
      <c r="B17" s="370">
        <v>10</v>
      </c>
      <c r="C17" s="371" t="s">
        <v>191</v>
      </c>
      <c r="D17" s="800"/>
    </row>
    <row r="18" spans="1:4">
      <c r="A18" s="394">
        <v>9</v>
      </c>
      <c r="B18" s="370">
        <v>10</v>
      </c>
      <c r="C18" s="371" t="s">
        <v>192</v>
      </c>
      <c r="D18" s="800"/>
    </row>
    <row r="19" spans="1:4">
      <c r="A19" s="394">
        <v>10</v>
      </c>
      <c r="B19" s="370">
        <v>10</v>
      </c>
      <c r="C19" s="371" t="s">
        <v>193</v>
      </c>
      <c r="D19" s="800"/>
    </row>
    <row r="20" spans="1:4">
      <c r="A20" s="394">
        <v>11</v>
      </c>
      <c r="B20" s="370">
        <v>10</v>
      </c>
      <c r="C20" s="371" t="s">
        <v>194</v>
      </c>
      <c r="D20" s="800"/>
    </row>
    <row r="21" spans="1:4">
      <c r="A21" s="394">
        <v>12</v>
      </c>
      <c r="B21" s="370">
        <v>10</v>
      </c>
      <c r="C21" s="371" t="s">
        <v>195</v>
      </c>
      <c r="D21" s="800"/>
    </row>
    <row r="22" spans="1:4">
      <c r="A22" s="394">
        <v>13</v>
      </c>
      <c r="B22" s="370">
        <v>10</v>
      </c>
      <c r="C22" s="371" t="s">
        <v>196</v>
      </c>
      <c r="D22" s="800"/>
    </row>
    <row r="23" spans="1:4">
      <c r="A23" s="394">
        <v>14</v>
      </c>
      <c r="B23" s="370">
        <v>10</v>
      </c>
      <c r="C23" s="371" t="s">
        <v>197</v>
      </c>
      <c r="D23" s="800"/>
    </row>
    <row r="24" spans="1:4">
      <c r="A24" s="395">
        <v>15</v>
      </c>
      <c r="B24" s="372">
        <v>10</v>
      </c>
      <c r="C24" s="373" t="s">
        <v>198</v>
      </c>
      <c r="D24" s="800"/>
    </row>
    <row r="25" spans="1:4">
      <c r="A25" s="393">
        <v>16</v>
      </c>
      <c r="B25" s="368">
        <v>11</v>
      </c>
      <c r="C25" s="369" t="s">
        <v>199</v>
      </c>
      <c r="D25" s="799"/>
    </row>
    <row r="26" spans="1:4">
      <c r="A26" s="394">
        <v>17</v>
      </c>
      <c r="B26" s="370">
        <v>11</v>
      </c>
      <c r="C26" s="371" t="s">
        <v>200</v>
      </c>
      <c r="D26" s="800"/>
    </row>
    <row r="27" spans="1:4">
      <c r="A27" s="394">
        <v>18</v>
      </c>
      <c r="B27" s="370">
        <v>11</v>
      </c>
      <c r="C27" s="371" t="s">
        <v>201</v>
      </c>
      <c r="D27" s="800"/>
    </row>
    <row r="28" spans="1:4">
      <c r="A28" s="394">
        <v>19</v>
      </c>
      <c r="B28" s="370">
        <v>11</v>
      </c>
      <c r="C28" s="371" t="s">
        <v>202</v>
      </c>
      <c r="D28" s="800"/>
    </row>
    <row r="29" spans="1:4">
      <c r="A29" s="394">
        <v>20</v>
      </c>
      <c r="B29" s="370">
        <v>11</v>
      </c>
      <c r="C29" s="371" t="s">
        <v>203</v>
      </c>
      <c r="D29" s="800"/>
    </row>
    <row r="30" spans="1:4">
      <c r="A30" s="394">
        <v>21</v>
      </c>
      <c r="B30" s="370">
        <v>11</v>
      </c>
      <c r="C30" s="371" t="s">
        <v>204</v>
      </c>
      <c r="D30" s="800"/>
    </row>
    <row r="31" spans="1:4">
      <c r="A31" s="394">
        <v>22</v>
      </c>
      <c r="B31" s="370">
        <v>11</v>
      </c>
      <c r="C31" s="371" t="s">
        <v>205</v>
      </c>
      <c r="D31" s="800"/>
    </row>
    <row r="32" spans="1:4">
      <c r="A32" s="394">
        <v>23</v>
      </c>
      <c r="B32" s="370">
        <v>11</v>
      </c>
      <c r="C32" s="371" t="s">
        <v>206</v>
      </c>
      <c r="D32" s="800"/>
    </row>
    <row r="33" spans="1:4">
      <c r="A33" s="394">
        <v>24</v>
      </c>
      <c r="B33" s="370">
        <v>11</v>
      </c>
      <c r="C33" s="371" t="s">
        <v>207</v>
      </c>
      <c r="D33" s="800"/>
    </row>
    <row r="34" spans="1:4">
      <c r="A34" s="394">
        <v>25</v>
      </c>
      <c r="B34" s="370">
        <v>11</v>
      </c>
      <c r="C34" s="371" t="s">
        <v>208</v>
      </c>
      <c r="D34" s="800"/>
    </row>
    <row r="35" spans="1:4">
      <c r="A35" s="394">
        <v>26</v>
      </c>
      <c r="B35" s="370">
        <v>11</v>
      </c>
      <c r="C35" s="371" t="s">
        <v>209</v>
      </c>
      <c r="D35" s="800"/>
    </row>
    <row r="36" spans="1:4">
      <c r="A36" s="394">
        <v>27</v>
      </c>
      <c r="B36" s="370">
        <v>11</v>
      </c>
      <c r="C36" s="371" t="s">
        <v>210</v>
      </c>
      <c r="D36" s="800"/>
    </row>
    <row r="37" spans="1:4">
      <c r="A37" s="395">
        <v>28</v>
      </c>
      <c r="B37" s="372">
        <v>11</v>
      </c>
      <c r="C37" s="373" t="s">
        <v>211</v>
      </c>
      <c r="D37" s="801"/>
    </row>
    <row r="38" spans="1:4">
      <c r="A38" s="396">
        <v>29</v>
      </c>
      <c r="B38" s="374">
        <v>2</v>
      </c>
      <c r="C38" s="375" t="s">
        <v>212</v>
      </c>
      <c r="D38" s="802"/>
    </row>
    <row r="39" spans="1:4">
      <c r="A39" s="396">
        <v>30</v>
      </c>
      <c r="B39" s="374">
        <v>3</v>
      </c>
      <c r="C39" s="375" t="s">
        <v>213</v>
      </c>
      <c r="D39" s="802"/>
    </row>
    <row r="40" spans="1:4">
      <c r="A40" s="399">
        <v>31</v>
      </c>
      <c r="B40" s="379">
        <v>4</v>
      </c>
      <c r="C40" s="380" t="s">
        <v>214</v>
      </c>
      <c r="D40" s="803"/>
    </row>
    <row r="41" spans="1:4">
      <c r="A41" s="400">
        <v>32</v>
      </c>
      <c r="B41" s="381">
        <v>4</v>
      </c>
      <c r="C41" s="382" t="s">
        <v>215</v>
      </c>
      <c r="D41" s="804"/>
    </row>
    <row r="42" spans="1:4">
      <c r="A42" s="401">
        <v>33</v>
      </c>
      <c r="B42" s="383">
        <v>4</v>
      </c>
      <c r="C42" s="384" t="s">
        <v>216</v>
      </c>
      <c r="D42" s="805"/>
    </row>
    <row r="43" spans="1:4">
      <c r="A43" s="397">
        <v>34</v>
      </c>
      <c r="B43" s="376">
        <v>5</v>
      </c>
      <c r="C43" s="377" t="s">
        <v>217</v>
      </c>
      <c r="D43" s="806"/>
    </row>
    <row r="44" spans="1:4">
      <c r="A44" s="411">
        <v>35</v>
      </c>
      <c r="B44" s="412">
        <v>6</v>
      </c>
      <c r="C44" s="413" t="s">
        <v>218</v>
      </c>
      <c r="D44" s="807"/>
    </row>
    <row r="45" spans="1:4">
      <c r="A45" s="398">
        <v>36</v>
      </c>
      <c r="B45" s="378">
        <v>7</v>
      </c>
      <c r="C45" s="377" t="s">
        <v>219</v>
      </c>
      <c r="D45" s="806"/>
    </row>
    <row r="46" spans="1:4">
      <c r="A46" s="399">
        <v>37</v>
      </c>
      <c r="B46" s="379">
        <v>12</v>
      </c>
      <c r="C46" s="380" t="s">
        <v>220</v>
      </c>
      <c r="D46" s="803"/>
    </row>
    <row r="47" spans="1:4">
      <c r="A47" s="400">
        <v>38</v>
      </c>
      <c r="B47" s="381">
        <v>12</v>
      </c>
      <c r="C47" s="382" t="s">
        <v>221</v>
      </c>
      <c r="D47" s="804"/>
    </row>
    <row r="48" spans="1:4">
      <c r="A48" s="400">
        <v>39</v>
      </c>
      <c r="B48" s="381">
        <v>12</v>
      </c>
      <c r="C48" s="382" t="s">
        <v>222</v>
      </c>
      <c r="D48" s="804"/>
    </row>
    <row r="49" spans="1:4">
      <c r="A49" s="400">
        <v>40</v>
      </c>
      <c r="B49" s="381">
        <v>12</v>
      </c>
      <c r="C49" s="382" t="s">
        <v>223</v>
      </c>
      <c r="D49" s="804"/>
    </row>
    <row r="50" spans="1:4">
      <c r="A50" s="400">
        <v>41</v>
      </c>
      <c r="B50" s="381">
        <v>12</v>
      </c>
      <c r="C50" s="382" t="s">
        <v>224</v>
      </c>
      <c r="D50" s="804"/>
    </row>
    <row r="51" spans="1:4">
      <c r="A51" s="400">
        <v>42</v>
      </c>
      <c r="B51" s="381">
        <v>12</v>
      </c>
      <c r="C51" s="382" t="s">
        <v>225</v>
      </c>
      <c r="D51" s="804"/>
    </row>
    <row r="52" spans="1:4">
      <c r="A52" s="400">
        <v>43</v>
      </c>
      <c r="B52" s="381">
        <v>12</v>
      </c>
      <c r="C52" s="382" t="s">
        <v>226</v>
      </c>
      <c r="D52" s="804"/>
    </row>
    <row r="53" spans="1:4">
      <c r="A53" s="400">
        <v>44</v>
      </c>
      <c r="B53" s="381">
        <v>12</v>
      </c>
      <c r="C53" s="382" t="s">
        <v>227</v>
      </c>
      <c r="D53" s="804"/>
    </row>
    <row r="54" spans="1:4">
      <c r="A54" s="400">
        <v>45</v>
      </c>
      <c r="B54" s="381">
        <v>12</v>
      </c>
      <c r="C54" s="382" t="s">
        <v>228</v>
      </c>
      <c r="D54" s="804"/>
    </row>
    <row r="55" spans="1:4">
      <c r="A55" s="400">
        <v>46</v>
      </c>
      <c r="B55" s="381">
        <v>12</v>
      </c>
      <c r="C55" s="382" t="s">
        <v>229</v>
      </c>
      <c r="D55" s="804"/>
    </row>
    <row r="56" spans="1:4">
      <c r="A56" s="400">
        <v>47</v>
      </c>
      <c r="B56" s="381">
        <v>12</v>
      </c>
      <c r="C56" s="382" t="s">
        <v>230</v>
      </c>
      <c r="D56" s="804"/>
    </row>
    <row r="57" spans="1:4">
      <c r="A57" s="400">
        <v>48</v>
      </c>
      <c r="B57" s="381">
        <v>12</v>
      </c>
      <c r="C57" s="382" t="s">
        <v>231</v>
      </c>
      <c r="D57" s="804"/>
    </row>
    <row r="58" spans="1:4">
      <c r="A58" s="400">
        <v>49</v>
      </c>
      <c r="B58" s="381">
        <v>12</v>
      </c>
      <c r="C58" s="382" t="s">
        <v>232</v>
      </c>
      <c r="D58" s="804"/>
    </row>
    <row r="59" spans="1:4">
      <c r="A59" s="400">
        <v>50</v>
      </c>
      <c r="B59" s="381">
        <v>12</v>
      </c>
      <c r="C59" s="382" t="s">
        <v>233</v>
      </c>
      <c r="D59" s="804"/>
    </row>
    <row r="60" spans="1:4">
      <c r="A60" s="400">
        <v>51</v>
      </c>
      <c r="B60" s="381">
        <v>12</v>
      </c>
      <c r="C60" s="382" t="s">
        <v>234</v>
      </c>
      <c r="D60" s="804"/>
    </row>
    <row r="61" spans="1:4">
      <c r="A61" s="400">
        <v>52</v>
      </c>
      <c r="B61" s="381">
        <v>12</v>
      </c>
      <c r="C61" s="382" t="s">
        <v>235</v>
      </c>
      <c r="D61" s="804"/>
    </row>
    <row r="62" spans="1:4">
      <c r="A62" s="400">
        <v>53</v>
      </c>
      <c r="B62" s="381">
        <v>12</v>
      </c>
      <c r="C62" s="382" t="s">
        <v>236</v>
      </c>
      <c r="D62" s="804"/>
    </row>
    <row r="63" spans="1:4">
      <c r="A63" s="400">
        <v>54</v>
      </c>
      <c r="B63" s="381">
        <v>12</v>
      </c>
      <c r="C63" s="382" t="s">
        <v>237</v>
      </c>
      <c r="D63" s="804"/>
    </row>
    <row r="64" spans="1:4">
      <c r="A64" s="400">
        <v>55</v>
      </c>
      <c r="B64" s="381">
        <v>12</v>
      </c>
      <c r="C64" s="382" t="s">
        <v>238</v>
      </c>
      <c r="D64" s="804"/>
    </row>
    <row r="65" spans="1:4">
      <c r="A65" s="401">
        <v>56</v>
      </c>
      <c r="B65" s="383">
        <v>12</v>
      </c>
      <c r="C65" s="384" t="s">
        <v>239</v>
      </c>
      <c r="D65" s="804"/>
    </row>
    <row r="66" spans="1:4">
      <c r="A66" s="399">
        <v>57</v>
      </c>
      <c r="B66" s="379">
        <v>13</v>
      </c>
      <c r="C66" s="380" t="s">
        <v>240</v>
      </c>
      <c r="D66" s="803"/>
    </row>
    <row r="67" spans="1:4">
      <c r="A67" s="400">
        <v>58</v>
      </c>
      <c r="B67" s="381">
        <v>13</v>
      </c>
      <c r="C67" s="382" t="s">
        <v>241</v>
      </c>
      <c r="D67" s="804"/>
    </row>
    <row r="68" spans="1:4">
      <c r="A68" s="400">
        <v>59</v>
      </c>
      <c r="B68" s="381">
        <v>13</v>
      </c>
      <c r="C68" s="382" t="s">
        <v>242</v>
      </c>
      <c r="D68" s="804"/>
    </row>
    <row r="69" spans="1:4">
      <c r="A69" s="400">
        <v>60</v>
      </c>
      <c r="B69" s="381">
        <v>13</v>
      </c>
      <c r="C69" s="382" t="s">
        <v>243</v>
      </c>
      <c r="D69" s="804"/>
    </row>
    <row r="70" spans="1:4">
      <c r="A70" s="400">
        <v>61</v>
      </c>
      <c r="B70" s="381">
        <v>13</v>
      </c>
      <c r="C70" s="382" t="s">
        <v>244</v>
      </c>
      <c r="D70" s="804"/>
    </row>
    <row r="71" spans="1:4">
      <c r="A71" s="400">
        <v>62</v>
      </c>
      <c r="B71" s="381">
        <v>13</v>
      </c>
      <c r="C71" s="382" t="s">
        <v>245</v>
      </c>
      <c r="D71" s="804"/>
    </row>
    <row r="72" spans="1:4">
      <c r="A72" s="400">
        <v>63</v>
      </c>
      <c r="B72" s="381">
        <v>13</v>
      </c>
      <c r="C72" s="382" t="s">
        <v>246</v>
      </c>
      <c r="D72" s="804"/>
    </row>
    <row r="73" spans="1:4">
      <c r="A73" s="400">
        <v>64</v>
      </c>
      <c r="B73" s="381">
        <v>13</v>
      </c>
      <c r="C73" s="382" t="s">
        <v>247</v>
      </c>
      <c r="D73" s="804"/>
    </row>
    <row r="74" spans="1:4">
      <c r="A74" s="400">
        <v>65</v>
      </c>
      <c r="B74" s="381">
        <v>13</v>
      </c>
      <c r="C74" s="382" t="s">
        <v>248</v>
      </c>
      <c r="D74" s="804"/>
    </row>
    <row r="75" spans="1:4">
      <c r="A75" s="400">
        <v>66</v>
      </c>
      <c r="B75" s="381">
        <v>13</v>
      </c>
      <c r="C75" s="382" t="s">
        <v>249</v>
      </c>
      <c r="D75" s="804"/>
    </row>
    <row r="76" spans="1:4">
      <c r="A76" s="400">
        <v>67</v>
      </c>
      <c r="B76" s="381">
        <v>13</v>
      </c>
      <c r="C76" s="382" t="s">
        <v>250</v>
      </c>
      <c r="D76" s="804"/>
    </row>
    <row r="77" spans="1:4">
      <c r="A77" s="400">
        <v>68</v>
      </c>
      <c r="B77" s="381">
        <v>13</v>
      </c>
      <c r="C77" s="382" t="s">
        <v>251</v>
      </c>
      <c r="D77" s="804"/>
    </row>
    <row r="78" spans="1:4">
      <c r="A78" s="400">
        <v>69</v>
      </c>
      <c r="B78" s="381">
        <v>13</v>
      </c>
      <c r="C78" s="382" t="s">
        <v>252</v>
      </c>
      <c r="D78" s="804"/>
    </row>
    <row r="79" spans="1:4">
      <c r="A79" s="400">
        <v>70</v>
      </c>
      <c r="B79" s="381">
        <v>13</v>
      </c>
      <c r="C79" s="382" t="s">
        <v>253</v>
      </c>
      <c r="D79" s="804"/>
    </row>
    <row r="80" spans="1:4">
      <c r="A80" s="400">
        <v>71</v>
      </c>
      <c r="B80" s="381">
        <v>13</v>
      </c>
      <c r="C80" s="382" t="s">
        <v>254</v>
      </c>
      <c r="D80" s="804"/>
    </row>
    <row r="81" spans="1:4">
      <c r="A81" s="400">
        <v>72</v>
      </c>
      <c r="B81" s="381">
        <v>13</v>
      </c>
      <c r="C81" s="382" t="s">
        <v>255</v>
      </c>
      <c r="D81" s="804"/>
    </row>
    <row r="82" spans="1:4">
      <c r="A82" s="400">
        <v>73</v>
      </c>
      <c r="B82" s="381">
        <v>13</v>
      </c>
      <c r="C82" s="382" t="s">
        <v>256</v>
      </c>
      <c r="D82" s="804"/>
    </row>
    <row r="83" spans="1:4">
      <c r="A83" s="400">
        <v>74</v>
      </c>
      <c r="B83" s="381">
        <v>13</v>
      </c>
      <c r="C83" s="382" t="s">
        <v>257</v>
      </c>
      <c r="D83" s="804"/>
    </row>
    <row r="84" spans="1:4">
      <c r="A84" s="400">
        <v>75</v>
      </c>
      <c r="B84" s="381">
        <v>13</v>
      </c>
      <c r="C84" s="382" t="s">
        <v>258</v>
      </c>
      <c r="D84" s="804"/>
    </row>
    <row r="85" spans="1:4">
      <c r="A85" s="400">
        <v>76</v>
      </c>
      <c r="B85" s="381">
        <v>13</v>
      </c>
      <c r="C85" s="382" t="s">
        <v>259</v>
      </c>
      <c r="D85" s="804"/>
    </row>
    <row r="86" spans="1:4">
      <c r="A86" s="400">
        <v>77</v>
      </c>
      <c r="B86" s="381">
        <v>13</v>
      </c>
      <c r="C86" s="382" t="s">
        <v>260</v>
      </c>
      <c r="D86" s="804"/>
    </row>
    <row r="87" spans="1:4">
      <c r="A87" s="400">
        <v>78</v>
      </c>
      <c r="B87" s="381">
        <v>13</v>
      </c>
      <c r="C87" s="382" t="s">
        <v>261</v>
      </c>
      <c r="D87" s="804"/>
    </row>
    <row r="88" spans="1:4">
      <c r="A88" s="400">
        <v>79</v>
      </c>
      <c r="B88" s="381">
        <v>13</v>
      </c>
      <c r="C88" s="382" t="s">
        <v>262</v>
      </c>
      <c r="D88" s="804"/>
    </row>
    <row r="89" spans="1:4">
      <c r="A89" s="400">
        <v>80</v>
      </c>
      <c r="B89" s="381">
        <v>13</v>
      </c>
      <c r="C89" s="382" t="s">
        <v>263</v>
      </c>
      <c r="D89" s="804"/>
    </row>
    <row r="90" spans="1:4">
      <c r="A90" s="400">
        <v>81</v>
      </c>
      <c r="B90" s="381">
        <v>13</v>
      </c>
      <c r="C90" s="382" t="s">
        <v>264</v>
      </c>
      <c r="D90" s="804"/>
    </row>
    <row r="91" spans="1:4">
      <c r="A91" s="400">
        <v>82</v>
      </c>
      <c r="B91" s="381">
        <v>13</v>
      </c>
      <c r="C91" s="382" t="s">
        <v>265</v>
      </c>
      <c r="D91" s="804"/>
    </row>
    <row r="92" spans="1:4">
      <c r="A92" s="400">
        <v>83</v>
      </c>
      <c r="B92" s="381">
        <v>13</v>
      </c>
      <c r="C92" s="382" t="s">
        <v>266</v>
      </c>
      <c r="D92" s="804"/>
    </row>
    <row r="93" spans="1:4">
      <c r="A93" s="400">
        <v>84</v>
      </c>
      <c r="B93" s="381">
        <v>13</v>
      </c>
      <c r="C93" s="382" t="s">
        <v>267</v>
      </c>
      <c r="D93" s="804"/>
    </row>
    <row r="94" spans="1:4">
      <c r="A94" s="400">
        <v>85</v>
      </c>
      <c r="B94" s="381">
        <v>13</v>
      </c>
      <c r="C94" s="382" t="s">
        <v>268</v>
      </c>
      <c r="D94" s="804"/>
    </row>
    <row r="95" spans="1:4">
      <c r="A95" s="400">
        <v>86</v>
      </c>
      <c r="B95" s="381">
        <v>13</v>
      </c>
      <c r="C95" s="382" t="s">
        <v>269</v>
      </c>
      <c r="D95" s="804"/>
    </row>
    <row r="96" spans="1:4">
      <c r="A96" s="400">
        <v>87</v>
      </c>
      <c r="B96" s="381">
        <v>13</v>
      </c>
      <c r="C96" s="382" t="s">
        <v>270</v>
      </c>
      <c r="D96" s="804"/>
    </row>
    <row r="97" spans="1:4">
      <c r="A97" s="400">
        <v>88</v>
      </c>
      <c r="B97" s="381">
        <v>13</v>
      </c>
      <c r="C97" s="382" t="s">
        <v>271</v>
      </c>
      <c r="D97" s="804"/>
    </row>
    <row r="98" spans="1:4">
      <c r="A98" s="401">
        <v>89</v>
      </c>
      <c r="B98" s="383">
        <v>13</v>
      </c>
      <c r="C98" s="384" t="s">
        <v>272</v>
      </c>
      <c r="D98" s="804"/>
    </row>
    <row r="99" spans="1:4">
      <c r="A99" s="399">
        <v>90</v>
      </c>
      <c r="B99" s="379">
        <v>14</v>
      </c>
      <c r="C99" s="380" t="s">
        <v>273</v>
      </c>
      <c r="D99" s="803"/>
    </row>
    <row r="100" spans="1:4">
      <c r="A100" s="400">
        <v>91</v>
      </c>
      <c r="B100" s="381">
        <v>14</v>
      </c>
      <c r="C100" s="382" t="s">
        <v>274</v>
      </c>
      <c r="D100" s="804"/>
    </row>
    <row r="101" spans="1:4">
      <c r="A101" s="400">
        <v>92</v>
      </c>
      <c r="B101" s="381">
        <v>14</v>
      </c>
      <c r="C101" s="382" t="s">
        <v>275</v>
      </c>
      <c r="D101" s="804"/>
    </row>
    <row r="102" spans="1:4">
      <c r="A102" s="403">
        <v>93</v>
      </c>
      <c r="B102" s="386">
        <v>14</v>
      </c>
      <c r="C102" s="382" t="s">
        <v>276</v>
      </c>
      <c r="D102" s="804"/>
    </row>
    <row r="103" spans="1:4">
      <c r="A103" s="400">
        <v>94</v>
      </c>
      <c r="B103" s="381">
        <v>14</v>
      </c>
      <c r="C103" s="382" t="s">
        <v>277</v>
      </c>
      <c r="D103" s="804"/>
    </row>
    <row r="104" spans="1:4">
      <c r="A104" s="400">
        <v>95</v>
      </c>
      <c r="B104" s="381">
        <v>14</v>
      </c>
      <c r="C104" s="382" t="s">
        <v>278</v>
      </c>
      <c r="D104" s="804"/>
    </row>
    <row r="105" spans="1:4">
      <c r="A105" s="400">
        <v>96</v>
      </c>
      <c r="B105" s="381">
        <v>14</v>
      </c>
      <c r="C105" s="382" t="s">
        <v>279</v>
      </c>
      <c r="D105" s="804"/>
    </row>
    <row r="106" spans="1:4">
      <c r="A106" s="400">
        <v>97</v>
      </c>
      <c r="B106" s="381">
        <v>14</v>
      </c>
      <c r="C106" s="382" t="s">
        <v>280</v>
      </c>
      <c r="D106" s="804"/>
    </row>
    <row r="107" spans="1:4">
      <c r="A107" s="400">
        <v>98</v>
      </c>
      <c r="B107" s="381">
        <v>14</v>
      </c>
      <c r="C107" s="382" t="s">
        <v>281</v>
      </c>
      <c r="D107" s="804"/>
    </row>
    <row r="108" spans="1:4">
      <c r="A108" s="400">
        <v>99</v>
      </c>
      <c r="B108" s="381">
        <v>14</v>
      </c>
      <c r="C108" s="382" t="s">
        <v>282</v>
      </c>
      <c r="D108" s="804"/>
    </row>
    <row r="109" spans="1:4">
      <c r="A109" s="400">
        <v>100</v>
      </c>
      <c r="B109" s="381">
        <v>14</v>
      </c>
      <c r="C109" s="382" t="s">
        <v>283</v>
      </c>
      <c r="D109" s="804"/>
    </row>
    <row r="110" spans="1:4">
      <c r="A110" s="400">
        <v>101</v>
      </c>
      <c r="B110" s="381">
        <v>14</v>
      </c>
      <c r="C110" s="382" t="s">
        <v>284</v>
      </c>
      <c r="D110" s="804"/>
    </row>
    <row r="111" spans="1:4">
      <c r="A111" s="400">
        <v>102</v>
      </c>
      <c r="B111" s="381">
        <v>14</v>
      </c>
      <c r="C111" s="382" t="s">
        <v>285</v>
      </c>
      <c r="D111" s="804"/>
    </row>
    <row r="112" spans="1:4">
      <c r="A112" s="400">
        <v>103</v>
      </c>
      <c r="B112" s="381">
        <v>14</v>
      </c>
      <c r="C112" s="382" t="s">
        <v>286</v>
      </c>
      <c r="D112" s="804"/>
    </row>
    <row r="113" spans="1:4">
      <c r="A113" s="400">
        <v>104</v>
      </c>
      <c r="B113" s="381">
        <v>14</v>
      </c>
      <c r="C113" s="382" t="s">
        <v>287</v>
      </c>
      <c r="D113" s="804"/>
    </row>
    <row r="114" spans="1:4">
      <c r="A114" s="400">
        <v>105</v>
      </c>
      <c r="B114" s="381">
        <v>14</v>
      </c>
      <c r="C114" s="382" t="s">
        <v>288</v>
      </c>
      <c r="D114" s="804"/>
    </row>
    <row r="115" spans="1:4">
      <c r="A115" s="400">
        <v>106</v>
      </c>
      <c r="B115" s="381">
        <v>14</v>
      </c>
      <c r="C115" s="382" t="s">
        <v>289</v>
      </c>
      <c r="D115" s="804"/>
    </row>
    <row r="116" spans="1:4">
      <c r="A116" s="400">
        <v>107</v>
      </c>
      <c r="B116" s="381">
        <v>14</v>
      </c>
      <c r="C116" s="382" t="s">
        <v>290</v>
      </c>
      <c r="D116" s="804"/>
    </row>
    <row r="117" spans="1:4">
      <c r="A117" s="400">
        <v>108</v>
      </c>
      <c r="B117" s="381">
        <v>14</v>
      </c>
      <c r="C117" s="382" t="s">
        <v>291</v>
      </c>
      <c r="D117" s="804"/>
    </row>
    <row r="118" spans="1:4">
      <c r="A118" s="400">
        <v>109</v>
      </c>
      <c r="B118" s="381">
        <v>14</v>
      </c>
      <c r="C118" s="382" t="s">
        <v>292</v>
      </c>
      <c r="D118" s="804"/>
    </row>
    <row r="119" spans="1:4">
      <c r="A119" s="400">
        <v>110</v>
      </c>
      <c r="B119" s="381">
        <v>14</v>
      </c>
      <c r="C119" s="382" t="s">
        <v>293</v>
      </c>
      <c r="D119" s="804"/>
    </row>
    <row r="120" spans="1:4">
      <c r="A120" s="400">
        <v>111</v>
      </c>
      <c r="B120" s="381">
        <v>14</v>
      </c>
      <c r="C120" s="382" t="s">
        <v>294</v>
      </c>
      <c r="D120" s="804"/>
    </row>
    <row r="121" spans="1:4">
      <c r="A121" s="400">
        <v>112</v>
      </c>
      <c r="B121" s="381">
        <v>14</v>
      </c>
      <c r="C121" s="382" t="s">
        <v>295</v>
      </c>
      <c r="D121" s="804"/>
    </row>
    <row r="122" spans="1:4">
      <c r="A122" s="400">
        <v>113</v>
      </c>
      <c r="B122" s="381">
        <v>14</v>
      </c>
      <c r="C122" s="382" t="s">
        <v>296</v>
      </c>
      <c r="D122" s="804"/>
    </row>
    <row r="123" spans="1:4">
      <c r="A123" s="400">
        <v>114</v>
      </c>
      <c r="B123" s="381">
        <v>14</v>
      </c>
      <c r="C123" s="382" t="s">
        <v>297</v>
      </c>
      <c r="D123" s="804"/>
    </row>
    <row r="124" spans="1:4">
      <c r="A124" s="400">
        <v>115</v>
      </c>
      <c r="B124" s="381">
        <v>14</v>
      </c>
      <c r="C124" s="382" t="s">
        <v>298</v>
      </c>
      <c r="D124" s="804"/>
    </row>
    <row r="125" spans="1:4">
      <c r="A125" s="400">
        <v>116</v>
      </c>
      <c r="B125" s="381">
        <v>14</v>
      </c>
      <c r="C125" s="382" t="s">
        <v>299</v>
      </c>
      <c r="D125" s="804"/>
    </row>
    <row r="126" spans="1:4">
      <c r="A126" s="400">
        <v>117</v>
      </c>
      <c r="B126" s="381">
        <v>14</v>
      </c>
      <c r="C126" s="382" t="s">
        <v>300</v>
      </c>
      <c r="D126" s="804"/>
    </row>
    <row r="127" spans="1:4">
      <c r="A127" s="401">
        <v>118</v>
      </c>
      <c r="B127" s="383">
        <v>14</v>
      </c>
      <c r="C127" s="384" t="s">
        <v>301</v>
      </c>
      <c r="D127" s="804"/>
    </row>
    <row r="128" spans="1:4">
      <c r="A128" s="402">
        <v>119</v>
      </c>
      <c r="B128" s="385" t="s">
        <v>302</v>
      </c>
      <c r="C128" s="380" t="s">
        <v>303</v>
      </c>
      <c r="D128" s="803"/>
    </row>
    <row r="129" spans="1:4">
      <c r="A129" s="403">
        <v>120</v>
      </c>
      <c r="B129" s="386" t="s">
        <v>302</v>
      </c>
      <c r="C129" s="382" t="s">
        <v>304</v>
      </c>
      <c r="D129" s="804"/>
    </row>
    <row r="130" spans="1:4">
      <c r="A130" s="403">
        <v>121</v>
      </c>
      <c r="B130" s="386" t="s">
        <v>302</v>
      </c>
      <c r="C130" s="382" t="s">
        <v>305</v>
      </c>
      <c r="D130" s="804"/>
    </row>
    <row r="131" spans="1:4">
      <c r="A131" s="403">
        <v>122</v>
      </c>
      <c r="B131" s="386" t="s">
        <v>302</v>
      </c>
      <c r="C131" s="382" t="s">
        <v>306</v>
      </c>
      <c r="D131" s="804"/>
    </row>
    <row r="132" spans="1:4">
      <c r="A132" s="403">
        <v>123</v>
      </c>
      <c r="B132" s="386" t="s">
        <v>302</v>
      </c>
      <c r="C132" s="382" t="s">
        <v>307</v>
      </c>
      <c r="D132" s="804"/>
    </row>
    <row r="133" spans="1:4">
      <c r="A133" s="403">
        <v>124</v>
      </c>
      <c r="B133" s="386" t="s">
        <v>302</v>
      </c>
      <c r="C133" s="382" t="s">
        <v>308</v>
      </c>
      <c r="D133" s="804"/>
    </row>
    <row r="134" spans="1:4">
      <c r="A134" s="403">
        <v>125</v>
      </c>
      <c r="B134" s="386" t="s">
        <v>302</v>
      </c>
      <c r="C134" s="382" t="s">
        <v>309</v>
      </c>
      <c r="D134" s="804"/>
    </row>
    <row r="135" spans="1:4">
      <c r="A135" s="403">
        <v>126</v>
      </c>
      <c r="B135" s="386" t="s">
        <v>302</v>
      </c>
      <c r="C135" s="382" t="s">
        <v>310</v>
      </c>
      <c r="D135" s="804"/>
    </row>
    <row r="136" spans="1:4">
      <c r="A136" s="403">
        <v>127</v>
      </c>
      <c r="B136" s="386" t="s">
        <v>302</v>
      </c>
      <c r="C136" s="382" t="s">
        <v>311</v>
      </c>
      <c r="D136" s="804"/>
    </row>
    <row r="137" spans="1:4">
      <c r="A137" s="403">
        <v>128</v>
      </c>
      <c r="B137" s="386" t="s">
        <v>302</v>
      </c>
      <c r="C137" s="382" t="s">
        <v>312</v>
      </c>
      <c r="D137" s="804"/>
    </row>
    <row r="138" spans="1:4">
      <c r="A138" s="403">
        <v>129</v>
      </c>
      <c r="B138" s="386" t="s">
        <v>302</v>
      </c>
      <c r="C138" s="382" t="s">
        <v>313</v>
      </c>
      <c r="D138" s="804"/>
    </row>
    <row r="139" spans="1:4">
      <c r="A139" s="404">
        <v>130</v>
      </c>
      <c r="B139" s="387" t="s">
        <v>302</v>
      </c>
      <c r="C139" s="384" t="s">
        <v>314</v>
      </c>
      <c r="D139" s="805"/>
    </row>
    <row r="140" spans="1:4">
      <c r="A140" s="402">
        <v>131</v>
      </c>
      <c r="B140" s="385" t="s">
        <v>315</v>
      </c>
      <c r="C140" s="380" t="s">
        <v>316</v>
      </c>
      <c r="D140" s="803"/>
    </row>
    <row r="141" spans="1:4">
      <c r="A141" s="403">
        <v>132</v>
      </c>
      <c r="B141" s="386" t="s">
        <v>315</v>
      </c>
      <c r="C141" s="382" t="s">
        <v>317</v>
      </c>
      <c r="D141" s="804"/>
    </row>
    <row r="142" spans="1:4">
      <c r="A142" s="403">
        <v>133</v>
      </c>
      <c r="B142" s="386" t="s">
        <v>315</v>
      </c>
      <c r="C142" s="382" t="s">
        <v>318</v>
      </c>
      <c r="D142" s="804"/>
    </row>
    <row r="143" spans="1:4">
      <c r="A143" s="403">
        <v>134</v>
      </c>
      <c r="B143" s="386" t="s">
        <v>315</v>
      </c>
      <c r="C143" s="382" t="s">
        <v>319</v>
      </c>
      <c r="D143" s="804"/>
    </row>
    <row r="144" spans="1:4">
      <c r="A144" s="403">
        <v>135</v>
      </c>
      <c r="B144" s="386" t="s">
        <v>315</v>
      </c>
      <c r="C144" s="382" t="s">
        <v>320</v>
      </c>
      <c r="D144" s="804"/>
    </row>
    <row r="145" spans="1:4">
      <c r="A145" s="403">
        <v>136</v>
      </c>
      <c r="B145" s="386" t="s">
        <v>315</v>
      </c>
      <c r="C145" s="382" t="s">
        <v>321</v>
      </c>
      <c r="D145" s="804"/>
    </row>
    <row r="146" spans="1:4">
      <c r="A146" s="403">
        <v>137</v>
      </c>
      <c r="B146" s="386" t="s">
        <v>315</v>
      </c>
      <c r="C146" s="382" t="s">
        <v>322</v>
      </c>
      <c r="D146" s="804"/>
    </row>
    <row r="147" spans="1:4">
      <c r="A147" s="403">
        <v>138</v>
      </c>
      <c r="B147" s="386" t="s">
        <v>315</v>
      </c>
      <c r="C147" s="382" t="s">
        <v>323</v>
      </c>
      <c r="D147" s="804"/>
    </row>
    <row r="148" spans="1:4">
      <c r="A148" s="403">
        <v>139</v>
      </c>
      <c r="B148" s="386" t="s">
        <v>315</v>
      </c>
      <c r="C148" s="382" t="s">
        <v>324</v>
      </c>
      <c r="D148" s="804"/>
    </row>
    <row r="149" spans="1:4">
      <c r="A149" s="403">
        <v>140</v>
      </c>
      <c r="B149" s="386" t="s">
        <v>315</v>
      </c>
      <c r="C149" s="382" t="s">
        <v>325</v>
      </c>
      <c r="D149" s="804"/>
    </row>
    <row r="150" spans="1:4">
      <c r="A150" s="403">
        <v>141</v>
      </c>
      <c r="B150" s="386" t="s">
        <v>315</v>
      </c>
      <c r="C150" s="382" t="s">
        <v>326</v>
      </c>
      <c r="D150" s="804"/>
    </row>
    <row r="151" spans="1:4">
      <c r="A151" s="403">
        <v>142</v>
      </c>
      <c r="B151" s="386" t="s">
        <v>315</v>
      </c>
      <c r="C151" s="382" t="s">
        <v>327</v>
      </c>
      <c r="D151" s="804"/>
    </row>
    <row r="152" spans="1:4">
      <c r="A152" s="403">
        <v>143</v>
      </c>
      <c r="B152" s="386" t="s">
        <v>315</v>
      </c>
      <c r="C152" s="382" t="s">
        <v>328</v>
      </c>
      <c r="D152" s="804"/>
    </row>
    <row r="153" spans="1:4">
      <c r="A153" s="403">
        <v>144</v>
      </c>
      <c r="B153" s="386" t="s">
        <v>315</v>
      </c>
      <c r="C153" s="382" t="s">
        <v>329</v>
      </c>
      <c r="D153" s="804"/>
    </row>
    <row r="154" spans="1:4">
      <c r="A154" s="403">
        <v>145</v>
      </c>
      <c r="B154" s="386" t="s">
        <v>315</v>
      </c>
      <c r="C154" s="382" t="s">
        <v>330</v>
      </c>
      <c r="D154" s="804"/>
    </row>
    <row r="155" spans="1:4">
      <c r="A155" s="403">
        <v>146</v>
      </c>
      <c r="B155" s="386" t="s">
        <v>315</v>
      </c>
      <c r="C155" s="382" t="s">
        <v>331</v>
      </c>
      <c r="D155" s="804"/>
    </row>
    <row r="156" spans="1:4">
      <c r="A156" s="404">
        <v>147</v>
      </c>
      <c r="B156" s="387" t="s">
        <v>315</v>
      </c>
      <c r="C156" s="384" t="s">
        <v>332</v>
      </c>
      <c r="D156" s="805"/>
    </row>
    <row r="157" spans="1:4">
      <c r="A157" s="402">
        <v>148</v>
      </c>
      <c r="B157" s="385" t="s">
        <v>333</v>
      </c>
      <c r="C157" s="380" t="s">
        <v>334</v>
      </c>
      <c r="D157" s="803"/>
    </row>
    <row r="158" spans="1:4">
      <c r="A158" s="403">
        <v>149</v>
      </c>
      <c r="B158" s="386" t="s">
        <v>333</v>
      </c>
      <c r="C158" s="382" t="s">
        <v>335</v>
      </c>
      <c r="D158" s="804"/>
    </row>
    <row r="159" spans="1:4">
      <c r="A159" s="403">
        <v>150</v>
      </c>
      <c r="B159" s="386" t="s">
        <v>333</v>
      </c>
      <c r="C159" s="382" t="s">
        <v>336</v>
      </c>
      <c r="D159" s="804"/>
    </row>
    <row r="160" spans="1:4">
      <c r="A160" s="403">
        <v>151</v>
      </c>
      <c r="B160" s="386" t="s">
        <v>333</v>
      </c>
      <c r="C160" s="382" t="s">
        <v>337</v>
      </c>
      <c r="D160" s="804"/>
    </row>
    <row r="161" spans="1:4">
      <c r="A161" s="403">
        <v>152</v>
      </c>
      <c r="B161" s="386" t="s">
        <v>333</v>
      </c>
      <c r="C161" s="382" t="s">
        <v>338</v>
      </c>
      <c r="D161" s="804"/>
    </row>
    <row r="162" spans="1:4">
      <c r="A162" s="403">
        <v>153</v>
      </c>
      <c r="B162" s="386" t="s">
        <v>333</v>
      </c>
      <c r="C162" s="382" t="s">
        <v>339</v>
      </c>
      <c r="D162" s="804"/>
    </row>
    <row r="163" spans="1:4">
      <c r="A163" s="403">
        <v>154</v>
      </c>
      <c r="B163" s="386" t="s">
        <v>333</v>
      </c>
      <c r="C163" s="382" t="s">
        <v>340</v>
      </c>
      <c r="D163" s="804"/>
    </row>
    <row r="164" spans="1:4">
      <c r="A164" s="403">
        <v>155</v>
      </c>
      <c r="B164" s="386" t="s">
        <v>333</v>
      </c>
      <c r="C164" s="382" t="s">
        <v>341</v>
      </c>
      <c r="D164" s="804"/>
    </row>
    <row r="165" spans="1:4">
      <c r="A165" s="403">
        <v>156</v>
      </c>
      <c r="B165" s="386" t="s">
        <v>333</v>
      </c>
      <c r="C165" s="382" t="s">
        <v>342</v>
      </c>
      <c r="D165" s="804"/>
    </row>
    <row r="166" spans="1:4">
      <c r="A166" s="403">
        <v>157</v>
      </c>
      <c r="B166" s="386" t="s">
        <v>333</v>
      </c>
      <c r="C166" s="382" t="s">
        <v>343</v>
      </c>
      <c r="D166" s="804"/>
    </row>
    <row r="167" spans="1:4">
      <c r="A167" s="404">
        <v>158</v>
      </c>
      <c r="B167" s="387" t="s">
        <v>333</v>
      </c>
      <c r="C167" s="384" t="s">
        <v>344</v>
      </c>
      <c r="D167" s="805"/>
    </row>
    <row r="168" spans="1:4">
      <c r="A168" s="402">
        <v>159</v>
      </c>
      <c r="B168" s="385" t="s">
        <v>345</v>
      </c>
      <c r="C168" s="380" t="s">
        <v>346</v>
      </c>
      <c r="D168" s="803"/>
    </row>
    <row r="169" spans="1:4">
      <c r="A169" s="403">
        <v>160</v>
      </c>
      <c r="B169" s="386" t="s">
        <v>345</v>
      </c>
      <c r="C169" s="382" t="s">
        <v>347</v>
      </c>
      <c r="D169" s="804"/>
    </row>
    <row r="170" spans="1:4">
      <c r="A170" s="403">
        <v>161</v>
      </c>
      <c r="B170" s="386" t="s">
        <v>345</v>
      </c>
      <c r="C170" s="382" t="s">
        <v>348</v>
      </c>
      <c r="D170" s="804"/>
    </row>
    <row r="171" spans="1:4">
      <c r="A171" s="403">
        <v>162</v>
      </c>
      <c r="B171" s="386" t="s">
        <v>345</v>
      </c>
      <c r="C171" s="382" t="s">
        <v>349</v>
      </c>
      <c r="D171" s="804"/>
    </row>
    <row r="172" spans="1:4">
      <c r="A172" s="403">
        <v>163</v>
      </c>
      <c r="B172" s="386" t="s">
        <v>345</v>
      </c>
      <c r="C172" s="382" t="s">
        <v>350</v>
      </c>
      <c r="D172" s="804"/>
    </row>
    <row r="173" spans="1:4">
      <c r="A173" s="404">
        <v>164</v>
      </c>
      <c r="B173" s="387" t="s">
        <v>345</v>
      </c>
      <c r="C173" s="384" t="s">
        <v>351</v>
      </c>
      <c r="D173" s="805"/>
    </row>
    <row r="174" spans="1:4">
      <c r="A174" s="398">
        <v>165</v>
      </c>
      <c r="B174" s="378" t="s">
        <v>352</v>
      </c>
      <c r="C174" s="377" t="s">
        <v>353</v>
      </c>
      <c r="D174" s="806"/>
    </row>
    <row r="175" spans="1:4">
      <c r="A175" s="399">
        <v>166</v>
      </c>
      <c r="B175" s="379">
        <v>17</v>
      </c>
      <c r="C175" s="380" t="s">
        <v>354</v>
      </c>
      <c r="D175" s="803"/>
    </row>
    <row r="176" spans="1:4">
      <c r="A176" s="400">
        <v>167</v>
      </c>
      <c r="B176" s="381">
        <v>17</v>
      </c>
      <c r="C176" s="382" t="s">
        <v>355</v>
      </c>
      <c r="D176" s="804"/>
    </row>
    <row r="177" spans="1:4">
      <c r="A177" s="400">
        <v>168</v>
      </c>
      <c r="B177" s="381">
        <v>17</v>
      </c>
      <c r="C177" s="382" t="s">
        <v>356</v>
      </c>
      <c r="D177" s="804"/>
    </row>
    <row r="178" spans="1:4">
      <c r="A178" s="400">
        <v>169</v>
      </c>
      <c r="B178" s="381">
        <v>17</v>
      </c>
      <c r="C178" s="382" t="s">
        <v>357</v>
      </c>
      <c r="D178" s="804"/>
    </row>
    <row r="179" spans="1:4">
      <c r="A179" s="400">
        <v>170</v>
      </c>
      <c r="B179" s="381">
        <v>17</v>
      </c>
      <c r="C179" s="382" t="s">
        <v>358</v>
      </c>
      <c r="D179" s="804"/>
    </row>
    <row r="180" spans="1:4">
      <c r="A180" s="403">
        <v>171</v>
      </c>
      <c r="B180" s="386">
        <v>17</v>
      </c>
      <c r="C180" s="382" t="s">
        <v>359</v>
      </c>
      <c r="D180" s="804"/>
    </row>
    <row r="181" spans="1:4">
      <c r="A181" s="400">
        <v>172</v>
      </c>
      <c r="B181" s="381">
        <v>17</v>
      </c>
      <c r="C181" s="382" t="s">
        <v>360</v>
      </c>
      <c r="D181" s="804"/>
    </row>
    <row r="182" spans="1:4">
      <c r="A182" s="400">
        <v>173</v>
      </c>
      <c r="B182" s="381">
        <v>17</v>
      </c>
      <c r="C182" s="382" t="s">
        <v>361</v>
      </c>
      <c r="D182" s="804"/>
    </row>
    <row r="183" spans="1:4">
      <c r="A183" s="400">
        <v>174</v>
      </c>
      <c r="B183" s="381">
        <v>17</v>
      </c>
      <c r="C183" s="382" t="s">
        <v>362</v>
      </c>
      <c r="D183" s="804"/>
    </row>
    <row r="184" spans="1:4">
      <c r="A184" s="400">
        <v>175</v>
      </c>
      <c r="B184" s="381">
        <v>17</v>
      </c>
      <c r="C184" s="382" t="s">
        <v>363</v>
      </c>
      <c r="D184" s="804"/>
    </row>
    <row r="185" spans="1:4">
      <c r="A185" s="400">
        <v>176</v>
      </c>
      <c r="B185" s="381">
        <v>17</v>
      </c>
      <c r="C185" s="382" t="s">
        <v>364</v>
      </c>
      <c r="D185" s="804"/>
    </row>
    <row r="186" spans="1:4">
      <c r="A186" s="400">
        <v>177</v>
      </c>
      <c r="B186" s="381">
        <v>17</v>
      </c>
      <c r="C186" s="382" t="s">
        <v>365</v>
      </c>
      <c r="D186" s="804"/>
    </row>
    <row r="187" spans="1:4">
      <c r="A187" s="400">
        <v>178</v>
      </c>
      <c r="B187" s="381">
        <v>17</v>
      </c>
      <c r="C187" s="382" t="s">
        <v>366</v>
      </c>
      <c r="D187" s="804"/>
    </row>
    <row r="188" spans="1:4">
      <c r="A188" s="400">
        <v>179</v>
      </c>
      <c r="B188" s="381">
        <v>17</v>
      </c>
      <c r="C188" s="382" t="s">
        <v>367</v>
      </c>
      <c r="D188" s="804"/>
    </row>
    <row r="189" spans="1:4">
      <c r="A189" s="400">
        <v>180</v>
      </c>
      <c r="B189" s="381">
        <v>17</v>
      </c>
      <c r="C189" s="382" t="s">
        <v>368</v>
      </c>
      <c r="D189" s="804"/>
    </row>
    <row r="190" spans="1:4">
      <c r="A190" s="400">
        <v>181</v>
      </c>
      <c r="B190" s="381">
        <v>17</v>
      </c>
      <c r="C190" s="382" t="s">
        <v>369</v>
      </c>
      <c r="D190" s="804"/>
    </row>
    <row r="191" spans="1:4">
      <c r="A191" s="400">
        <v>182</v>
      </c>
      <c r="B191" s="381">
        <v>17</v>
      </c>
      <c r="C191" s="382" t="s">
        <v>370</v>
      </c>
      <c r="D191" s="804"/>
    </row>
    <row r="192" spans="1:4">
      <c r="A192" s="400">
        <v>183</v>
      </c>
      <c r="B192" s="381">
        <v>17</v>
      </c>
      <c r="C192" s="382" t="s">
        <v>371</v>
      </c>
      <c r="D192" s="804"/>
    </row>
    <row r="193" spans="1:4">
      <c r="A193" s="400">
        <v>184</v>
      </c>
      <c r="B193" s="381">
        <v>17</v>
      </c>
      <c r="C193" s="382" t="s">
        <v>372</v>
      </c>
      <c r="D193" s="804"/>
    </row>
    <row r="194" spans="1:4">
      <c r="A194" s="401">
        <v>185</v>
      </c>
      <c r="B194" s="383">
        <v>17</v>
      </c>
      <c r="C194" s="384" t="s">
        <v>373</v>
      </c>
      <c r="D194" s="805"/>
    </row>
    <row r="195" spans="1:4">
      <c r="A195" s="399">
        <v>186</v>
      </c>
      <c r="B195" s="379">
        <v>18</v>
      </c>
      <c r="C195" s="380" t="s">
        <v>374</v>
      </c>
      <c r="D195" s="803"/>
    </row>
    <row r="196" spans="1:4">
      <c r="A196" s="400">
        <v>187</v>
      </c>
      <c r="B196" s="381">
        <v>18</v>
      </c>
      <c r="C196" s="382" t="s">
        <v>375</v>
      </c>
      <c r="D196" s="804"/>
    </row>
    <row r="197" spans="1:4">
      <c r="A197" s="400">
        <v>188</v>
      </c>
      <c r="B197" s="381">
        <v>18</v>
      </c>
      <c r="C197" s="382" t="s">
        <v>376</v>
      </c>
      <c r="D197" s="804"/>
    </row>
    <row r="198" spans="1:4">
      <c r="A198" s="400">
        <v>189</v>
      </c>
      <c r="B198" s="381">
        <v>18</v>
      </c>
      <c r="C198" s="382" t="s">
        <v>377</v>
      </c>
      <c r="D198" s="804"/>
    </row>
    <row r="199" spans="1:4">
      <c r="A199" s="400">
        <v>190</v>
      </c>
      <c r="B199" s="381">
        <v>18</v>
      </c>
      <c r="C199" s="382" t="s">
        <v>378</v>
      </c>
      <c r="D199" s="804"/>
    </row>
    <row r="200" spans="1:4">
      <c r="A200" s="400">
        <v>191</v>
      </c>
      <c r="B200" s="381">
        <v>18</v>
      </c>
      <c r="C200" s="382" t="s">
        <v>379</v>
      </c>
      <c r="D200" s="804"/>
    </row>
    <row r="201" spans="1:4">
      <c r="A201" s="400">
        <v>192</v>
      </c>
      <c r="B201" s="381">
        <v>18</v>
      </c>
      <c r="C201" s="382" t="s">
        <v>380</v>
      </c>
      <c r="D201" s="804"/>
    </row>
    <row r="202" spans="1:4">
      <c r="A202" s="400">
        <v>193</v>
      </c>
      <c r="B202" s="381">
        <v>18</v>
      </c>
      <c r="C202" s="382" t="s">
        <v>381</v>
      </c>
      <c r="D202" s="804"/>
    </row>
    <row r="203" spans="1:4">
      <c r="A203" s="400">
        <v>194</v>
      </c>
      <c r="B203" s="381">
        <v>18</v>
      </c>
      <c r="C203" s="382" t="s">
        <v>382</v>
      </c>
      <c r="D203" s="804"/>
    </row>
    <row r="204" spans="1:4">
      <c r="A204" s="400">
        <v>195</v>
      </c>
      <c r="B204" s="381">
        <v>18</v>
      </c>
      <c r="C204" s="382" t="s">
        <v>383</v>
      </c>
      <c r="D204" s="804"/>
    </row>
    <row r="205" spans="1:4">
      <c r="A205" s="400">
        <v>196</v>
      </c>
      <c r="B205" s="381">
        <v>18</v>
      </c>
      <c r="C205" s="382" t="s">
        <v>384</v>
      </c>
      <c r="D205" s="804"/>
    </row>
    <row r="206" spans="1:4">
      <c r="A206" s="400">
        <v>197</v>
      </c>
      <c r="B206" s="381">
        <v>18</v>
      </c>
      <c r="C206" s="382" t="s">
        <v>385</v>
      </c>
      <c r="D206" s="804"/>
    </row>
    <row r="207" spans="1:4">
      <c r="A207" s="400">
        <v>198</v>
      </c>
      <c r="B207" s="381">
        <v>18</v>
      </c>
      <c r="C207" s="382" t="s">
        <v>386</v>
      </c>
      <c r="D207" s="804"/>
    </row>
    <row r="208" spans="1:4">
      <c r="A208" s="400">
        <v>199</v>
      </c>
      <c r="B208" s="381">
        <v>18</v>
      </c>
      <c r="C208" s="382" t="s">
        <v>387</v>
      </c>
      <c r="D208" s="804"/>
    </row>
    <row r="209" spans="1:4">
      <c r="A209" s="400">
        <v>200</v>
      </c>
      <c r="B209" s="381">
        <v>18</v>
      </c>
      <c r="C209" s="382" t="s">
        <v>388</v>
      </c>
      <c r="D209" s="804"/>
    </row>
    <row r="210" spans="1:4">
      <c r="A210" s="400">
        <v>201</v>
      </c>
      <c r="B210" s="381">
        <v>18</v>
      </c>
      <c r="C210" s="382" t="s">
        <v>389</v>
      </c>
      <c r="D210" s="804"/>
    </row>
    <row r="211" spans="1:4">
      <c r="A211" s="400">
        <v>202</v>
      </c>
      <c r="B211" s="381">
        <v>18</v>
      </c>
      <c r="C211" s="382" t="s">
        <v>390</v>
      </c>
      <c r="D211" s="804"/>
    </row>
    <row r="212" spans="1:4">
      <c r="A212" s="400">
        <v>203</v>
      </c>
      <c r="B212" s="381">
        <v>18</v>
      </c>
      <c r="C212" s="382" t="s">
        <v>391</v>
      </c>
      <c r="D212" s="804"/>
    </row>
    <row r="213" spans="1:4">
      <c r="A213" s="400">
        <v>204</v>
      </c>
      <c r="B213" s="381">
        <v>18</v>
      </c>
      <c r="C213" s="382" t="s">
        <v>392</v>
      </c>
      <c r="D213" s="804"/>
    </row>
    <row r="214" spans="1:4">
      <c r="A214" s="400">
        <v>205</v>
      </c>
      <c r="B214" s="381">
        <v>18</v>
      </c>
      <c r="C214" s="382" t="s">
        <v>393</v>
      </c>
      <c r="D214" s="804"/>
    </row>
    <row r="215" spans="1:4">
      <c r="A215" s="400">
        <v>206</v>
      </c>
      <c r="B215" s="381">
        <v>18</v>
      </c>
      <c r="C215" s="382" t="s">
        <v>394</v>
      </c>
      <c r="D215" s="804"/>
    </row>
    <row r="216" spans="1:4">
      <c r="A216" s="400">
        <v>207</v>
      </c>
      <c r="B216" s="381">
        <v>18</v>
      </c>
      <c r="C216" s="382" t="s">
        <v>395</v>
      </c>
      <c r="D216" s="804"/>
    </row>
    <row r="217" spans="1:4">
      <c r="A217" s="400">
        <v>208</v>
      </c>
      <c r="B217" s="381">
        <v>18</v>
      </c>
      <c r="C217" s="382" t="s">
        <v>396</v>
      </c>
      <c r="D217" s="804"/>
    </row>
    <row r="218" spans="1:4">
      <c r="A218" s="400">
        <v>209</v>
      </c>
      <c r="B218" s="381">
        <v>18</v>
      </c>
      <c r="C218" s="382" t="s">
        <v>397</v>
      </c>
      <c r="D218" s="804"/>
    </row>
    <row r="219" spans="1:4">
      <c r="A219" s="400">
        <v>210</v>
      </c>
      <c r="B219" s="381">
        <v>18</v>
      </c>
      <c r="C219" s="382" t="s">
        <v>398</v>
      </c>
      <c r="D219" s="804"/>
    </row>
    <row r="220" spans="1:4">
      <c r="A220" s="400">
        <v>211</v>
      </c>
      <c r="B220" s="381">
        <v>18</v>
      </c>
      <c r="C220" s="382" t="s">
        <v>399</v>
      </c>
      <c r="D220" s="804"/>
    </row>
    <row r="221" spans="1:4">
      <c r="A221" s="400">
        <v>212</v>
      </c>
      <c r="B221" s="381">
        <v>18</v>
      </c>
      <c r="C221" s="382" t="s">
        <v>400</v>
      </c>
      <c r="D221" s="804"/>
    </row>
    <row r="222" spans="1:4">
      <c r="A222" s="400">
        <v>213</v>
      </c>
      <c r="B222" s="381">
        <v>18</v>
      </c>
      <c r="C222" s="382" t="s">
        <v>401</v>
      </c>
      <c r="D222" s="804"/>
    </row>
    <row r="223" spans="1:4">
      <c r="A223" s="401">
        <v>214</v>
      </c>
      <c r="B223" s="383">
        <v>18</v>
      </c>
      <c r="C223" s="384" t="s">
        <v>402</v>
      </c>
      <c r="D223" s="805"/>
    </row>
    <row r="224" spans="1:4">
      <c r="A224" s="402">
        <v>215</v>
      </c>
      <c r="B224" s="385" t="s">
        <v>403</v>
      </c>
      <c r="C224" s="380" t="s">
        <v>404</v>
      </c>
      <c r="D224" s="803"/>
    </row>
    <row r="225" spans="1:4">
      <c r="A225" s="403">
        <v>216</v>
      </c>
      <c r="B225" s="386" t="s">
        <v>403</v>
      </c>
      <c r="C225" s="382" t="s">
        <v>405</v>
      </c>
      <c r="D225" s="804"/>
    </row>
    <row r="226" spans="1:4">
      <c r="A226" s="403">
        <v>217</v>
      </c>
      <c r="B226" s="386" t="s">
        <v>403</v>
      </c>
      <c r="C226" s="382" t="s">
        <v>406</v>
      </c>
      <c r="D226" s="804"/>
    </row>
    <row r="227" spans="1:4">
      <c r="A227" s="403">
        <v>218</v>
      </c>
      <c r="B227" s="386" t="s">
        <v>403</v>
      </c>
      <c r="C227" s="382" t="s">
        <v>407</v>
      </c>
      <c r="D227" s="804"/>
    </row>
    <row r="228" spans="1:4">
      <c r="A228" s="403">
        <v>219</v>
      </c>
      <c r="B228" s="386" t="s">
        <v>403</v>
      </c>
      <c r="C228" s="382" t="s">
        <v>408</v>
      </c>
      <c r="D228" s="804"/>
    </row>
    <row r="229" spans="1:4">
      <c r="A229" s="403">
        <v>220</v>
      </c>
      <c r="B229" s="386" t="s">
        <v>403</v>
      </c>
      <c r="C229" s="382" t="s">
        <v>409</v>
      </c>
      <c r="D229" s="804"/>
    </row>
    <row r="230" spans="1:4">
      <c r="A230" s="403">
        <v>221</v>
      </c>
      <c r="B230" s="386" t="s">
        <v>403</v>
      </c>
      <c r="C230" s="382" t="s">
        <v>410</v>
      </c>
      <c r="D230" s="804"/>
    </row>
    <row r="231" spans="1:4">
      <c r="A231" s="404">
        <v>222</v>
      </c>
      <c r="B231" s="387" t="s">
        <v>403</v>
      </c>
      <c r="C231" s="384" t="s">
        <v>411</v>
      </c>
      <c r="D231" s="805"/>
    </row>
    <row r="232" spans="1:4">
      <c r="A232" s="402">
        <v>223</v>
      </c>
      <c r="B232" s="385" t="s">
        <v>412</v>
      </c>
      <c r="C232" s="380" t="s">
        <v>413</v>
      </c>
      <c r="D232" s="803"/>
    </row>
    <row r="233" spans="1:4">
      <c r="A233" s="403">
        <v>224</v>
      </c>
      <c r="B233" s="386" t="s">
        <v>412</v>
      </c>
      <c r="C233" s="382" t="s">
        <v>414</v>
      </c>
      <c r="D233" s="804"/>
    </row>
    <row r="234" spans="1:4">
      <c r="A234" s="403">
        <v>225</v>
      </c>
      <c r="B234" s="386" t="s">
        <v>412</v>
      </c>
      <c r="C234" s="382" t="s">
        <v>415</v>
      </c>
      <c r="D234" s="804"/>
    </row>
    <row r="235" spans="1:4">
      <c r="A235" s="403">
        <v>226</v>
      </c>
      <c r="B235" s="386" t="s">
        <v>412</v>
      </c>
      <c r="C235" s="382" t="s">
        <v>416</v>
      </c>
      <c r="D235" s="804"/>
    </row>
    <row r="236" spans="1:4">
      <c r="A236" s="403">
        <v>227</v>
      </c>
      <c r="B236" s="386" t="s">
        <v>412</v>
      </c>
      <c r="C236" s="382" t="s">
        <v>417</v>
      </c>
      <c r="D236" s="804"/>
    </row>
    <row r="237" spans="1:4">
      <c r="A237" s="403">
        <v>228</v>
      </c>
      <c r="B237" s="386" t="s">
        <v>412</v>
      </c>
      <c r="C237" s="382" t="s">
        <v>418</v>
      </c>
      <c r="D237" s="804"/>
    </row>
    <row r="238" spans="1:4">
      <c r="A238" s="403">
        <v>229</v>
      </c>
      <c r="B238" s="386" t="s">
        <v>412</v>
      </c>
      <c r="C238" s="382" t="s">
        <v>419</v>
      </c>
      <c r="D238" s="804"/>
    </row>
    <row r="239" spans="1:4">
      <c r="A239" s="403">
        <v>230</v>
      </c>
      <c r="B239" s="386" t="s">
        <v>412</v>
      </c>
      <c r="C239" s="382" t="s">
        <v>420</v>
      </c>
      <c r="D239" s="804"/>
    </row>
    <row r="240" spans="1:4">
      <c r="A240" s="403">
        <v>231</v>
      </c>
      <c r="B240" s="386" t="s">
        <v>412</v>
      </c>
      <c r="C240" s="382" t="s">
        <v>421</v>
      </c>
      <c r="D240" s="804"/>
    </row>
    <row r="241" spans="1:4">
      <c r="A241" s="403">
        <v>232</v>
      </c>
      <c r="B241" s="386" t="s">
        <v>412</v>
      </c>
      <c r="C241" s="382" t="s">
        <v>422</v>
      </c>
      <c r="D241" s="804"/>
    </row>
    <row r="242" spans="1:4">
      <c r="A242" s="403">
        <v>233</v>
      </c>
      <c r="B242" s="386" t="s">
        <v>412</v>
      </c>
      <c r="C242" s="382" t="s">
        <v>423</v>
      </c>
      <c r="D242" s="804"/>
    </row>
    <row r="243" spans="1:4">
      <c r="A243" s="404">
        <v>234</v>
      </c>
      <c r="B243" s="387" t="s">
        <v>412</v>
      </c>
      <c r="C243" s="384" t="s">
        <v>424</v>
      </c>
      <c r="D243" s="805"/>
    </row>
    <row r="244" spans="1:4">
      <c r="A244" s="399">
        <v>235</v>
      </c>
      <c r="B244" s="379">
        <v>20</v>
      </c>
      <c r="C244" s="380" t="s">
        <v>425</v>
      </c>
      <c r="D244" s="803"/>
    </row>
    <row r="245" spans="1:4">
      <c r="A245" s="400">
        <v>236</v>
      </c>
      <c r="B245" s="381">
        <v>20</v>
      </c>
      <c r="C245" s="382" t="s">
        <v>426</v>
      </c>
      <c r="D245" s="804"/>
    </row>
    <row r="246" spans="1:4">
      <c r="A246" s="400">
        <v>237</v>
      </c>
      <c r="B246" s="381">
        <v>20</v>
      </c>
      <c r="C246" s="382" t="s">
        <v>427</v>
      </c>
      <c r="D246" s="804"/>
    </row>
    <row r="247" spans="1:4">
      <c r="A247" s="400">
        <v>238</v>
      </c>
      <c r="B247" s="381">
        <v>20</v>
      </c>
      <c r="C247" s="382" t="s">
        <v>428</v>
      </c>
      <c r="D247" s="804"/>
    </row>
    <row r="248" spans="1:4">
      <c r="A248" s="400">
        <v>239</v>
      </c>
      <c r="B248" s="381">
        <v>20</v>
      </c>
      <c r="C248" s="382" t="s">
        <v>429</v>
      </c>
      <c r="D248" s="804"/>
    </row>
    <row r="249" spans="1:4">
      <c r="A249" s="400">
        <v>240</v>
      </c>
      <c r="B249" s="381">
        <v>20</v>
      </c>
      <c r="C249" s="382" t="s">
        <v>430</v>
      </c>
      <c r="D249" s="804"/>
    </row>
    <row r="250" spans="1:4">
      <c r="A250" s="400">
        <v>241</v>
      </c>
      <c r="B250" s="381">
        <v>20</v>
      </c>
      <c r="C250" s="382" t="s">
        <v>431</v>
      </c>
      <c r="D250" s="804"/>
    </row>
    <row r="251" spans="1:4">
      <c r="A251" s="400">
        <v>242</v>
      </c>
      <c r="B251" s="381">
        <v>20</v>
      </c>
      <c r="C251" s="382" t="s">
        <v>432</v>
      </c>
      <c r="D251" s="804"/>
    </row>
    <row r="252" spans="1:4">
      <c r="A252" s="400">
        <v>243</v>
      </c>
      <c r="B252" s="381">
        <v>20</v>
      </c>
      <c r="C252" s="382" t="s">
        <v>433</v>
      </c>
      <c r="D252" s="804"/>
    </row>
    <row r="253" spans="1:4">
      <c r="A253" s="400">
        <v>244</v>
      </c>
      <c r="B253" s="381">
        <v>20</v>
      </c>
      <c r="C253" s="382" t="s">
        <v>434</v>
      </c>
      <c r="D253" s="804"/>
    </row>
    <row r="254" spans="1:4">
      <c r="A254" s="400">
        <v>245</v>
      </c>
      <c r="B254" s="381">
        <v>20</v>
      </c>
      <c r="C254" s="382" t="s">
        <v>435</v>
      </c>
      <c r="D254" s="804"/>
    </row>
    <row r="255" spans="1:4">
      <c r="A255" s="400">
        <v>246</v>
      </c>
      <c r="B255" s="381">
        <v>20</v>
      </c>
      <c r="C255" s="382" t="s">
        <v>436</v>
      </c>
      <c r="D255" s="804"/>
    </row>
    <row r="256" spans="1:4">
      <c r="A256" s="400">
        <v>247</v>
      </c>
      <c r="B256" s="381">
        <v>20</v>
      </c>
      <c r="C256" s="382" t="s">
        <v>437</v>
      </c>
      <c r="D256" s="804"/>
    </row>
    <row r="257" spans="1:4">
      <c r="A257" s="400">
        <v>248</v>
      </c>
      <c r="B257" s="381">
        <v>20</v>
      </c>
      <c r="C257" s="382" t="s">
        <v>438</v>
      </c>
      <c r="D257" s="804"/>
    </row>
    <row r="258" spans="1:4">
      <c r="A258" s="400">
        <v>249</v>
      </c>
      <c r="B258" s="381">
        <v>20</v>
      </c>
      <c r="C258" s="382" t="s">
        <v>439</v>
      </c>
      <c r="D258" s="804"/>
    </row>
    <row r="259" spans="1:4">
      <c r="A259" s="400">
        <v>250</v>
      </c>
      <c r="B259" s="381">
        <v>20</v>
      </c>
      <c r="C259" s="382" t="s">
        <v>440</v>
      </c>
      <c r="D259" s="804"/>
    </row>
    <row r="260" spans="1:4">
      <c r="A260" s="400">
        <v>251</v>
      </c>
      <c r="B260" s="381">
        <v>20</v>
      </c>
      <c r="C260" s="382" t="s">
        <v>441</v>
      </c>
      <c r="D260" s="804"/>
    </row>
    <row r="261" spans="1:4">
      <c r="A261" s="400">
        <v>252</v>
      </c>
      <c r="B261" s="381">
        <v>20</v>
      </c>
      <c r="C261" s="382" t="s">
        <v>442</v>
      </c>
      <c r="D261" s="804"/>
    </row>
    <row r="262" spans="1:4">
      <c r="A262" s="400">
        <v>253</v>
      </c>
      <c r="B262" s="381">
        <v>20</v>
      </c>
      <c r="C262" s="382" t="s">
        <v>443</v>
      </c>
      <c r="D262" s="804"/>
    </row>
    <row r="263" spans="1:4">
      <c r="A263" s="414">
        <v>254</v>
      </c>
      <c r="B263" s="415">
        <v>20</v>
      </c>
      <c r="C263" s="416" t="s">
        <v>444</v>
      </c>
      <c r="D263" s="808"/>
    </row>
    <row r="264" spans="1:4">
      <c r="A264" s="362"/>
      <c r="B264" s="362"/>
      <c r="C264" s="362"/>
      <c r="D264" s="388"/>
    </row>
    <row r="265" spans="1:4">
      <c r="A265" s="362"/>
      <c r="B265" s="362"/>
      <c r="C265" s="362"/>
    </row>
    <row r="266" spans="1:4">
      <c r="A266" s="362"/>
      <c r="B266" s="362"/>
      <c r="C266" s="362"/>
    </row>
    <row r="267" spans="1:4">
      <c r="A267" s="362"/>
      <c r="B267" s="362"/>
      <c r="C267" s="362"/>
    </row>
    <row r="268" spans="1:4">
      <c r="A268" s="362"/>
      <c r="B268" s="362"/>
      <c r="C268" s="362"/>
    </row>
    <row r="269" spans="1:4">
      <c r="A269" s="362"/>
      <c r="B269" s="362"/>
      <c r="C269" s="362"/>
    </row>
    <row r="270" spans="1:4">
      <c r="A270" s="362"/>
      <c r="B270" s="362"/>
      <c r="C270" s="362"/>
    </row>
    <row r="271" spans="1:4">
      <c r="A271" s="362"/>
      <c r="B271" s="362"/>
      <c r="C271" s="362"/>
    </row>
    <row r="272" spans="1:4">
      <c r="A272" s="362"/>
      <c r="B272" s="362"/>
      <c r="C272" s="362"/>
    </row>
    <row r="273" spans="1:3">
      <c r="A273" s="362"/>
      <c r="B273" s="362"/>
      <c r="C273" s="362"/>
    </row>
    <row r="274" spans="1:3">
      <c r="A274" s="362"/>
      <c r="B274" s="362"/>
      <c r="C274" s="362"/>
    </row>
    <row r="275" spans="1:3">
      <c r="A275" s="362"/>
      <c r="B275" s="362"/>
      <c r="C275" s="362"/>
    </row>
    <row r="276" spans="1:3">
      <c r="A276" s="362"/>
      <c r="B276" s="362"/>
      <c r="C276" s="362"/>
    </row>
    <row r="277" spans="1:3">
      <c r="A277" s="362"/>
      <c r="B277" s="362"/>
      <c r="C277" s="362"/>
    </row>
    <row r="278" spans="1:3">
      <c r="A278" s="362"/>
      <c r="B278" s="362"/>
      <c r="C278" s="362"/>
    </row>
    <row r="279" spans="1:3">
      <c r="A279" s="362"/>
      <c r="B279" s="362"/>
      <c r="C279" s="362"/>
    </row>
    <row r="280" spans="1:3">
      <c r="A280" s="362"/>
      <c r="B280" s="362"/>
      <c r="C280" s="362"/>
    </row>
    <row r="281" spans="1:3">
      <c r="A281" s="362"/>
      <c r="B281" s="362"/>
      <c r="C281" s="362"/>
    </row>
    <row r="282" spans="1:3">
      <c r="A282" s="362"/>
      <c r="B282" s="362"/>
      <c r="C282" s="362"/>
    </row>
    <row r="283" spans="1:3">
      <c r="A283" s="362"/>
      <c r="B283" s="362"/>
      <c r="C283" s="362"/>
    </row>
    <row r="284" spans="1:3">
      <c r="A284" s="362"/>
      <c r="B284" s="362"/>
      <c r="C284" s="362"/>
    </row>
    <row r="285" spans="1:3">
      <c r="A285" s="362"/>
      <c r="B285" s="362"/>
      <c r="C285" s="362"/>
    </row>
    <row r="286" spans="1:3">
      <c r="A286" s="362"/>
      <c r="B286" s="362"/>
      <c r="C286" s="362"/>
    </row>
    <row r="287" spans="1:3">
      <c r="A287" s="362"/>
      <c r="B287" s="362"/>
      <c r="C287" s="362"/>
    </row>
    <row r="288" spans="1:3">
      <c r="A288" s="362"/>
      <c r="B288" s="362"/>
      <c r="C288" s="362"/>
    </row>
    <row r="289" spans="1:3">
      <c r="A289" s="362"/>
      <c r="B289" s="362"/>
      <c r="C289" s="362"/>
    </row>
    <row r="290" spans="1:3">
      <c r="A290" s="362"/>
      <c r="B290" s="362"/>
      <c r="C290" s="362"/>
    </row>
    <row r="291" spans="1:3">
      <c r="A291" s="362"/>
      <c r="B291" s="362"/>
      <c r="C291" s="362"/>
    </row>
    <row r="292" spans="1:3">
      <c r="A292" s="362"/>
      <c r="B292" s="362"/>
      <c r="C292" s="362"/>
    </row>
    <row r="293" spans="1:3">
      <c r="A293" s="362"/>
      <c r="B293" s="362"/>
      <c r="C293" s="362"/>
    </row>
    <row r="294" spans="1:3">
      <c r="A294" s="362"/>
      <c r="B294" s="362"/>
      <c r="C294" s="362"/>
    </row>
    <row r="295" spans="1:3">
      <c r="A295" s="362"/>
      <c r="B295" s="362"/>
      <c r="C295" s="362"/>
    </row>
    <row r="296" spans="1:3">
      <c r="A296" s="362"/>
      <c r="B296" s="362"/>
      <c r="C296" s="362"/>
    </row>
    <row r="297" spans="1:3">
      <c r="A297" s="362"/>
      <c r="B297" s="362"/>
      <c r="C297" s="362"/>
    </row>
    <row r="298" spans="1:3">
      <c r="A298" s="362"/>
      <c r="B298" s="362"/>
      <c r="C298" s="362"/>
    </row>
    <row r="299" spans="1:3">
      <c r="A299" s="362"/>
      <c r="B299" s="362"/>
      <c r="C299" s="362"/>
    </row>
    <row r="300" spans="1:3">
      <c r="A300" s="362"/>
      <c r="B300" s="362"/>
      <c r="C300" s="362"/>
    </row>
    <row r="301" spans="1:3">
      <c r="A301" s="362"/>
      <c r="B301" s="362"/>
      <c r="C301" s="362"/>
    </row>
    <row r="302" spans="1:3">
      <c r="A302" s="362"/>
      <c r="B302" s="362"/>
      <c r="C302" s="362"/>
    </row>
    <row r="303" spans="1:3">
      <c r="A303" s="362"/>
      <c r="B303" s="362"/>
      <c r="C303" s="362"/>
    </row>
    <row r="304" spans="1:3">
      <c r="A304" s="362"/>
      <c r="B304" s="362"/>
      <c r="C304" s="362"/>
    </row>
    <row r="305" spans="1:3">
      <c r="A305" s="362"/>
      <c r="B305" s="362"/>
      <c r="C305" s="362"/>
    </row>
    <row r="306" spans="1:3">
      <c r="A306" s="362"/>
      <c r="B306" s="362"/>
      <c r="C306" s="362"/>
    </row>
    <row r="307" spans="1:3">
      <c r="A307" s="362"/>
      <c r="B307" s="362"/>
      <c r="C307" s="362"/>
    </row>
    <row r="308" spans="1:3">
      <c r="A308" s="362"/>
      <c r="B308" s="362"/>
      <c r="C308" s="362"/>
    </row>
    <row r="309" spans="1:3">
      <c r="A309" s="362"/>
      <c r="B309" s="362"/>
      <c r="C309" s="362"/>
    </row>
    <row r="310" spans="1:3">
      <c r="A310" s="362"/>
      <c r="B310" s="362"/>
      <c r="C310" s="362"/>
    </row>
    <row r="311" spans="1:3">
      <c r="A311" s="362"/>
      <c r="B311" s="362"/>
      <c r="C311" s="362"/>
    </row>
    <row r="312" spans="1:3">
      <c r="A312" s="362"/>
      <c r="B312" s="362"/>
      <c r="C312" s="362"/>
    </row>
    <row r="313" spans="1:3">
      <c r="A313" s="362"/>
      <c r="B313" s="362"/>
      <c r="C313" s="362"/>
    </row>
    <row r="314" spans="1:3">
      <c r="A314" s="362"/>
      <c r="B314" s="362"/>
      <c r="C314" s="362"/>
    </row>
    <row r="315" spans="1:3">
      <c r="A315" s="362"/>
      <c r="B315" s="362"/>
      <c r="C315" s="362"/>
    </row>
    <row r="316" spans="1:3">
      <c r="A316" s="362"/>
      <c r="B316" s="362"/>
      <c r="C316" s="362"/>
    </row>
    <row r="317" spans="1:3">
      <c r="A317" s="362"/>
      <c r="B317" s="362"/>
      <c r="C317" s="362"/>
    </row>
    <row r="318" spans="1:3">
      <c r="A318" s="362"/>
      <c r="B318" s="362"/>
      <c r="C318" s="362"/>
    </row>
    <row r="319" spans="1:3">
      <c r="A319" s="362"/>
      <c r="B319" s="362"/>
      <c r="C319" s="362"/>
    </row>
    <row r="320" spans="1:3">
      <c r="A320" s="362"/>
      <c r="B320" s="362"/>
      <c r="C320" s="362"/>
    </row>
    <row r="321" spans="1:3">
      <c r="A321" s="362"/>
      <c r="B321" s="362"/>
      <c r="C321" s="362"/>
    </row>
    <row r="322" spans="1:3">
      <c r="A322" s="362"/>
      <c r="B322" s="362"/>
      <c r="C322" s="362"/>
    </row>
    <row r="323" spans="1:3">
      <c r="A323" s="362"/>
      <c r="B323" s="362"/>
      <c r="C323" s="362"/>
    </row>
    <row r="324" spans="1:3">
      <c r="A324" s="362"/>
      <c r="B324" s="362"/>
      <c r="C324" s="362"/>
    </row>
    <row r="325" spans="1:3">
      <c r="A325" s="362"/>
      <c r="B325" s="362"/>
      <c r="C325" s="362"/>
    </row>
    <row r="326" spans="1:3">
      <c r="A326" s="362"/>
      <c r="B326" s="362"/>
      <c r="C326" s="362"/>
    </row>
    <row r="327" spans="1:3">
      <c r="A327" s="362"/>
      <c r="B327" s="362"/>
      <c r="C327" s="362"/>
    </row>
    <row r="328" spans="1:3">
      <c r="A328" s="362"/>
      <c r="B328" s="362"/>
      <c r="C328" s="362"/>
    </row>
    <row r="329" spans="1:3">
      <c r="A329" s="362"/>
      <c r="B329" s="362"/>
      <c r="C329" s="362"/>
    </row>
    <row r="330" spans="1:3">
      <c r="A330" s="362"/>
      <c r="B330" s="362"/>
      <c r="C330" s="362"/>
    </row>
    <row r="331" spans="1:3">
      <c r="A331" s="362"/>
      <c r="B331" s="362"/>
      <c r="C331" s="362"/>
    </row>
    <row r="332" spans="1:3">
      <c r="A332" s="362"/>
      <c r="B332" s="362"/>
      <c r="C332" s="362"/>
    </row>
    <row r="333" spans="1:3">
      <c r="A333" s="362"/>
      <c r="B333" s="362"/>
      <c r="C333" s="362"/>
    </row>
    <row r="334" spans="1:3">
      <c r="A334" s="362"/>
      <c r="B334" s="362"/>
      <c r="C334" s="362"/>
    </row>
    <row r="335" spans="1:3">
      <c r="A335" s="362"/>
      <c r="B335" s="362"/>
      <c r="C335" s="362"/>
    </row>
    <row r="336" spans="1:3">
      <c r="A336" s="362"/>
      <c r="B336" s="362"/>
      <c r="C336" s="362"/>
    </row>
    <row r="337" spans="1:3">
      <c r="A337" s="362"/>
      <c r="B337" s="362"/>
      <c r="C337" s="362"/>
    </row>
    <row r="338" spans="1:3">
      <c r="A338" s="362"/>
      <c r="B338" s="362"/>
      <c r="C338" s="362"/>
    </row>
    <row r="339" spans="1:3">
      <c r="A339" s="362"/>
      <c r="B339" s="362"/>
      <c r="C339" s="362"/>
    </row>
    <row r="340" spans="1:3">
      <c r="A340" s="362"/>
      <c r="B340" s="362"/>
      <c r="C340" s="362"/>
    </row>
    <row r="341" spans="1:3">
      <c r="A341" s="362"/>
      <c r="B341" s="362"/>
      <c r="C341" s="362"/>
    </row>
    <row r="342" spans="1:3">
      <c r="A342" s="362"/>
      <c r="B342" s="362"/>
      <c r="C342" s="362"/>
    </row>
    <row r="343" spans="1:3">
      <c r="A343" s="362"/>
      <c r="B343" s="362"/>
      <c r="C343" s="362"/>
    </row>
    <row r="344" spans="1:3">
      <c r="A344" s="362"/>
      <c r="B344" s="362"/>
      <c r="C344" s="362"/>
    </row>
    <row r="345" spans="1:3">
      <c r="A345" s="362"/>
      <c r="B345" s="362"/>
      <c r="C345" s="362"/>
    </row>
    <row r="346" spans="1:3">
      <c r="A346" s="362"/>
      <c r="B346" s="362"/>
      <c r="C346" s="362"/>
    </row>
    <row r="347" spans="1:3">
      <c r="A347" s="362"/>
      <c r="B347" s="362"/>
      <c r="C347" s="362"/>
    </row>
    <row r="348" spans="1:3">
      <c r="A348" s="362"/>
      <c r="B348" s="362"/>
      <c r="C348" s="362"/>
    </row>
    <row r="349" spans="1:3">
      <c r="A349" s="362"/>
      <c r="B349" s="362"/>
      <c r="C349" s="362"/>
    </row>
    <row r="350" spans="1:3">
      <c r="A350" s="362"/>
      <c r="B350" s="362"/>
      <c r="C350" s="362"/>
    </row>
    <row r="351" spans="1:3">
      <c r="A351" s="362"/>
      <c r="B351" s="362"/>
      <c r="C351" s="362"/>
    </row>
    <row r="352" spans="1:3">
      <c r="A352" s="362"/>
      <c r="B352" s="362"/>
      <c r="C352" s="362"/>
    </row>
    <row r="353" spans="1:3">
      <c r="A353" s="362"/>
      <c r="B353" s="362"/>
      <c r="C353" s="362"/>
    </row>
    <row r="354" spans="1:3">
      <c r="A354" s="362"/>
      <c r="B354" s="362"/>
      <c r="C354" s="362"/>
    </row>
    <row r="355" spans="1:3">
      <c r="A355" s="362"/>
      <c r="B355" s="362"/>
      <c r="C355" s="362"/>
    </row>
    <row r="356" spans="1:3">
      <c r="A356" s="362"/>
      <c r="B356" s="362"/>
      <c r="C356" s="362"/>
    </row>
    <row r="357" spans="1:3">
      <c r="A357" s="362"/>
      <c r="B357" s="362"/>
      <c r="C357" s="362"/>
    </row>
    <row r="358" spans="1:3">
      <c r="A358" s="362"/>
      <c r="B358" s="362"/>
      <c r="C358" s="362"/>
    </row>
    <row r="359" spans="1:3">
      <c r="A359" s="362"/>
      <c r="B359" s="362"/>
      <c r="C359" s="362"/>
    </row>
    <row r="360" spans="1:3">
      <c r="A360" s="362"/>
      <c r="B360" s="362"/>
      <c r="C360" s="362"/>
    </row>
    <row r="361" spans="1:3">
      <c r="A361" s="362"/>
      <c r="B361" s="362"/>
      <c r="C361" s="362"/>
    </row>
    <row r="362" spans="1:3">
      <c r="A362" s="362"/>
      <c r="B362" s="362"/>
      <c r="C362" s="362"/>
    </row>
    <row r="363" spans="1:3">
      <c r="A363" s="362"/>
      <c r="B363" s="362"/>
      <c r="C363" s="362"/>
    </row>
    <row r="364" spans="1:3">
      <c r="A364" s="362"/>
      <c r="B364" s="362"/>
      <c r="C364" s="362"/>
    </row>
    <row r="365" spans="1:3">
      <c r="A365" s="362"/>
      <c r="B365" s="362"/>
      <c r="C365" s="362"/>
    </row>
    <row r="366" spans="1:3">
      <c r="A366" s="362"/>
      <c r="B366" s="362"/>
      <c r="C366" s="362"/>
    </row>
    <row r="367" spans="1:3">
      <c r="A367" s="362"/>
      <c r="B367" s="362"/>
      <c r="C367" s="362"/>
    </row>
    <row r="368" spans="1:3">
      <c r="A368" s="362"/>
      <c r="B368" s="362"/>
      <c r="C368" s="362"/>
    </row>
    <row r="369" spans="1:3">
      <c r="A369" s="362"/>
      <c r="B369" s="362"/>
      <c r="C369" s="362"/>
    </row>
    <row r="370" spans="1:3">
      <c r="A370" s="362"/>
      <c r="B370" s="362"/>
      <c r="C370" s="362"/>
    </row>
    <row r="371" spans="1:3">
      <c r="A371" s="362"/>
      <c r="B371" s="362"/>
      <c r="C371" s="362"/>
    </row>
    <row r="372" spans="1:3">
      <c r="A372" s="362"/>
      <c r="B372" s="362"/>
      <c r="C372" s="362"/>
    </row>
    <row r="373" spans="1:3">
      <c r="A373" s="362"/>
      <c r="B373" s="362"/>
      <c r="C373" s="362"/>
    </row>
    <row r="374" spans="1:3">
      <c r="A374" s="362"/>
      <c r="B374" s="362"/>
      <c r="C374" s="362"/>
    </row>
    <row r="375" spans="1:3">
      <c r="A375" s="362"/>
      <c r="B375" s="362"/>
      <c r="C375" s="362"/>
    </row>
    <row r="376" spans="1:3">
      <c r="A376" s="362"/>
      <c r="B376" s="362"/>
      <c r="C376" s="362"/>
    </row>
    <row r="377" spans="1:3">
      <c r="A377" s="362"/>
      <c r="B377" s="362"/>
      <c r="C377" s="362"/>
    </row>
    <row r="378" spans="1:3">
      <c r="A378" s="362"/>
      <c r="B378" s="362"/>
      <c r="C378" s="362"/>
    </row>
    <row r="379" spans="1:3">
      <c r="A379" s="362"/>
      <c r="B379" s="362"/>
      <c r="C379" s="362"/>
    </row>
    <row r="380" spans="1:3">
      <c r="A380" s="362"/>
      <c r="B380" s="362"/>
      <c r="C380" s="362"/>
    </row>
    <row r="381" spans="1:3">
      <c r="A381" s="362"/>
      <c r="B381" s="362"/>
      <c r="C381" s="362"/>
    </row>
    <row r="382" spans="1:3">
      <c r="A382" s="362"/>
      <c r="B382" s="362"/>
      <c r="C382" s="362"/>
    </row>
    <row r="383" spans="1:3">
      <c r="A383" s="362"/>
      <c r="B383" s="362"/>
      <c r="C383" s="362"/>
    </row>
    <row r="384" spans="1:3">
      <c r="A384" s="362"/>
      <c r="B384" s="362"/>
      <c r="C384" s="362"/>
    </row>
    <row r="385" spans="1:3">
      <c r="A385" s="362"/>
      <c r="B385" s="362"/>
      <c r="C385" s="362"/>
    </row>
    <row r="386" spans="1:3">
      <c r="A386" s="362"/>
      <c r="B386" s="362"/>
      <c r="C386" s="362"/>
    </row>
    <row r="387" spans="1:3">
      <c r="A387" s="362"/>
      <c r="B387" s="362"/>
      <c r="C387" s="362"/>
    </row>
    <row r="388" spans="1:3">
      <c r="A388" s="362"/>
      <c r="B388" s="362"/>
      <c r="C388" s="362"/>
    </row>
    <row r="389" spans="1:3">
      <c r="A389" s="362"/>
      <c r="B389" s="362"/>
      <c r="C389" s="362"/>
    </row>
    <row r="390" spans="1:3">
      <c r="A390" s="362"/>
      <c r="B390" s="362"/>
      <c r="C390" s="362"/>
    </row>
    <row r="391" spans="1:3">
      <c r="A391" s="362"/>
      <c r="B391" s="362"/>
      <c r="C391" s="362"/>
    </row>
    <row r="392" spans="1:3">
      <c r="A392" s="362"/>
      <c r="B392" s="362"/>
      <c r="C392" s="362"/>
    </row>
    <row r="393" spans="1:3">
      <c r="A393" s="362"/>
      <c r="B393" s="362"/>
      <c r="C393" s="362"/>
    </row>
    <row r="394" spans="1:3">
      <c r="A394" s="362"/>
      <c r="B394" s="362"/>
      <c r="C394" s="362"/>
    </row>
    <row r="395" spans="1:3">
      <c r="A395" s="362"/>
      <c r="B395" s="362"/>
      <c r="C395" s="362"/>
    </row>
    <row r="396" spans="1:3">
      <c r="A396" s="362"/>
      <c r="B396" s="362"/>
      <c r="C396" s="362"/>
    </row>
    <row r="397" spans="1:3">
      <c r="A397" s="362"/>
      <c r="B397" s="362"/>
      <c r="C397" s="362"/>
    </row>
    <row r="398" spans="1:3">
      <c r="A398" s="362"/>
      <c r="B398" s="362"/>
      <c r="C398" s="362"/>
    </row>
    <row r="399" spans="1:3">
      <c r="A399" s="362"/>
      <c r="B399" s="362"/>
      <c r="C399" s="362"/>
    </row>
    <row r="400" spans="1:3">
      <c r="A400" s="362"/>
      <c r="B400" s="362"/>
      <c r="C400" s="362"/>
    </row>
    <row r="401" spans="1:3">
      <c r="A401" s="362"/>
      <c r="B401" s="362"/>
      <c r="C401" s="362"/>
    </row>
    <row r="402" spans="1:3">
      <c r="A402" s="362"/>
      <c r="B402" s="362"/>
      <c r="C402" s="362"/>
    </row>
    <row r="403" spans="1:3">
      <c r="A403" s="362"/>
      <c r="B403" s="362"/>
      <c r="C403" s="362"/>
    </row>
    <row r="404" spans="1:3">
      <c r="A404" s="362"/>
      <c r="B404" s="362"/>
      <c r="C404" s="362"/>
    </row>
    <row r="405" spans="1:3">
      <c r="A405" s="362"/>
      <c r="B405" s="362"/>
      <c r="C405" s="362"/>
    </row>
    <row r="406" spans="1:3">
      <c r="A406" s="362"/>
      <c r="B406" s="362"/>
      <c r="C406" s="362"/>
    </row>
    <row r="407" spans="1:3">
      <c r="A407" s="362"/>
      <c r="B407" s="362"/>
      <c r="C407" s="362"/>
    </row>
    <row r="408" spans="1:3">
      <c r="A408" s="362"/>
      <c r="B408" s="362"/>
      <c r="C408" s="362"/>
    </row>
    <row r="409" spans="1:3">
      <c r="A409" s="362"/>
      <c r="B409" s="362"/>
      <c r="C409" s="362"/>
    </row>
    <row r="410" spans="1:3">
      <c r="A410" s="362"/>
      <c r="B410" s="362"/>
      <c r="C410" s="362"/>
    </row>
    <row r="411" spans="1:3">
      <c r="A411" s="362"/>
      <c r="B411" s="362"/>
      <c r="C411" s="362"/>
    </row>
    <row r="412" spans="1:3">
      <c r="A412" s="362"/>
      <c r="B412" s="362"/>
      <c r="C412" s="362"/>
    </row>
    <row r="413" spans="1:3">
      <c r="A413" s="362"/>
      <c r="B413" s="362"/>
      <c r="C413" s="362"/>
    </row>
    <row r="414" spans="1:3">
      <c r="A414" s="362"/>
      <c r="B414" s="362"/>
      <c r="C414" s="362"/>
    </row>
    <row r="415" spans="1:3">
      <c r="A415" s="362"/>
      <c r="B415" s="362"/>
      <c r="C415" s="362"/>
    </row>
    <row r="416" spans="1:3">
      <c r="A416" s="362"/>
      <c r="B416" s="362"/>
      <c r="C416" s="362"/>
    </row>
    <row r="417" spans="1:3">
      <c r="A417" s="362"/>
      <c r="B417" s="362"/>
      <c r="C417" s="362"/>
    </row>
    <row r="418" spans="1:3">
      <c r="A418" s="362"/>
      <c r="B418" s="362"/>
      <c r="C418" s="362"/>
    </row>
    <row r="419" spans="1:3">
      <c r="A419" s="362"/>
      <c r="B419" s="362"/>
      <c r="C419" s="362"/>
    </row>
    <row r="420" spans="1:3">
      <c r="A420" s="362"/>
      <c r="B420" s="362"/>
      <c r="C420" s="362"/>
    </row>
    <row r="421" spans="1:3">
      <c r="A421" s="362"/>
      <c r="B421" s="362"/>
      <c r="C421" s="362"/>
    </row>
    <row r="422" spans="1:3">
      <c r="A422" s="362"/>
      <c r="B422" s="362"/>
      <c r="C422" s="362"/>
    </row>
    <row r="423" spans="1:3">
      <c r="A423" s="362"/>
      <c r="B423" s="362"/>
      <c r="C423" s="362"/>
    </row>
    <row r="424" spans="1:3">
      <c r="A424" s="362"/>
      <c r="B424" s="362"/>
      <c r="C424" s="362"/>
    </row>
    <row r="425" spans="1:3">
      <c r="A425" s="362"/>
      <c r="B425" s="362"/>
      <c r="C425" s="362"/>
    </row>
    <row r="426" spans="1:3">
      <c r="A426" s="362"/>
      <c r="B426" s="362"/>
      <c r="C426" s="362"/>
    </row>
    <row r="427" spans="1:3">
      <c r="A427" s="362"/>
      <c r="B427" s="362"/>
      <c r="C427" s="362"/>
    </row>
    <row r="428" spans="1:3">
      <c r="A428" s="362"/>
      <c r="B428" s="362"/>
      <c r="C428" s="362"/>
    </row>
    <row r="429" spans="1:3">
      <c r="A429" s="362"/>
      <c r="B429" s="362"/>
      <c r="C429" s="362"/>
    </row>
    <row r="430" spans="1:3">
      <c r="A430" s="362"/>
      <c r="B430" s="362"/>
      <c r="C430" s="362"/>
    </row>
    <row r="431" spans="1:3">
      <c r="A431" s="362"/>
      <c r="B431" s="362"/>
      <c r="C431" s="362"/>
    </row>
    <row r="432" spans="1:3">
      <c r="A432" s="362"/>
      <c r="B432" s="362"/>
      <c r="C432" s="362"/>
    </row>
    <row r="433" spans="1:3">
      <c r="A433" s="362"/>
      <c r="B433" s="362"/>
      <c r="C433" s="362"/>
    </row>
    <row r="434" spans="1:3">
      <c r="A434" s="362"/>
      <c r="B434" s="362"/>
      <c r="C434" s="362"/>
    </row>
    <row r="435" spans="1:3">
      <c r="A435" s="362"/>
      <c r="B435" s="362"/>
      <c r="C435" s="362"/>
    </row>
    <row r="436" spans="1:3">
      <c r="A436" s="362"/>
      <c r="B436" s="362"/>
      <c r="C436" s="362"/>
    </row>
    <row r="437" spans="1:3">
      <c r="A437" s="362"/>
      <c r="B437" s="362"/>
      <c r="C437" s="362"/>
    </row>
    <row r="438" spans="1:3">
      <c r="A438" s="362"/>
      <c r="B438" s="362"/>
      <c r="C438" s="362"/>
    </row>
    <row r="439" spans="1:3">
      <c r="A439" s="362"/>
      <c r="B439" s="362"/>
      <c r="C439" s="362"/>
    </row>
    <row r="440" spans="1:3">
      <c r="A440" s="362"/>
      <c r="B440" s="362"/>
      <c r="C440" s="362"/>
    </row>
    <row r="441" spans="1:3">
      <c r="A441" s="362"/>
      <c r="B441" s="362"/>
      <c r="C441" s="362"/>
    </row>
    <row r="442" spans="1:3">
      <c r="A442" s="362"/>
      <c r="B442" s="362"/>
      <c r="C442" s="362"/>
    </row>
    <row r="443" spans="1:3">
      <c r="A443" s="362"/>
      <c r="B443" s="362"/>
      <c r="C443" s="362"/>
    </row>
    <row r="444" spans="1:3">
      <c r="A444" s="362"/>
      <c r="B444" s="362"/>
      <c r="C444" s="362"/>
    </row>
    <row r="445" spans="1:3">
      <c r="A445" s="362"/>
      <c r="B445" s="362"/>
      <c r="C445" s="362"/>
    </row>
    <row r="446" spans="1:3">
      <c r="A446" s="362"/>
      <c r="B446" s="362"/>
      <c r="C446" s="362"/>
    </row>
    <row r="447" spans="1:3">
      <c r="A447" s="362"/>
      <c r="B447" s="362"/>
      <c r="C447" s="362"/>
    </row>
    <row r="448" spans="1:3">
      <c r="A448" s="362"/>
      <c r="B448" s="362"/>
      <c r="C448" s="362"/>
    </row>
    <row r="449" spans="1:3">
      <c r="A449" s="362"/>
      <c r="B449" s="362"/>
      <c r="C449" s="362"/>
    </row>
    <row r="450" spans="1:3">
      <c r="A450" s="362"/>
      <c r="B450" s="362"/>
      <c r="C450" s="362"/>
    </row>
    <row r="451" spans="1:3">
      <c r="A451" s="362"/>
      <c r="B451" s="362"/>
      <c r="C451" s="362"/>
    </row>
    <row r="452" spans="1:3">
      <c r="A452" s="362"/>
      <c r="B452" s="362"/>
      <c r="C452" s="362"/>
    </row>
    <row r="453" spans="1:3">
      <c r="A453" s="362"/>
      <c r="B453" s="362"/>
      <c r="C453" s="362"/>
    </row>
    <row r="454" spans="1:3">
      <c r="A454" s="362"/>
      <c r="B454" s="362"/>
      <c r="C454" s="362"/>
    </row>
    <row r="455" spans="1:3">
      <c r="A455" s="362"/>
      <c r="B455" s="362"/>
      <c r="C455" s="362"/>
    </row>
    <row r="456" spans="1:3">
      <c r="A456" s="362"/>
      <c r="B456" s="362"/>
      <c r="C456" s="362"/>
    </row>
    <row r="457" spans="1:3">
      <c r="A457" s="362"/>
      <c r="B457" s="362"/>
      <c r="C457" s="362"/>
    </row>
    <row r="458" spans="1:3">
      <c r="A458" s="362"/>
      <c r="B458" s="362"/>
      <c r="C458" s="362"/>
    </row>
    <row r="459" spans="1:3">
      <c r="A459" s="362"/>
      <c r="B459" s="362"/>
      <c r="C459" s="362"/>
    </row>
    <row r="460" spans="1:3">
      <c r="A460" s="362"/>
      <c r="B460" s="362"/>
      <c r="C460" s="362"/>
    </row>
    <row r="461" spans="1:3">
      <c r="A461" s="362"/>
      <c r="B461" s="362"/>
      <c r="C461" s="362"/>
    </row>
    <row r="462" spans="1:3">
      <c r="A462" s="362"/>
      <c r="B462" s="362"/>
      <c r="C462" s="362"/>
    </row>
    <row r="463" spans="1:3">
      <c r="A463" s="362"/>
      <c r="B463" s="362"/>
      <c r="C463" s="362"/>
    </row>
    <row r="464" spans="1:3">
      <c r="A464" s="362"/>
      <c r="B464" s="362"/>
      <c r="C464" s="362"/>
    </row>
    <row r="465" spans="1:3">
      <c r="A465" s="362"/>
      <c r="B465" s="362"/>
      <c r="C465" s="362"/>
    </row>
    <row r="466" spans="1:3">
      <c r="A466" s="362"/>
      <c r="B466" s="362"/>
      <c r="C466" s="362"/>
    </row>
    <row r="467" spans="1:3">
      <c r="A467" s="362"/>
      <c r="B467" s="362"/>
      <c r="C467" s="362"/>
    </row>
    <row r="468" spans="1:3">
      <c r="A468" s="362"/>
      <c r="B468" s="362"/>
      <c r="C468" s="362"/>
    </row>
    <row r="469" spans="1:3">
      <c r="A469" s="362"/>
      <c r="B469" s="362"/>
      <c r="C469" s="362"/>
    </row>
    <row r="470" spans="1:3">
      <c r="A470" s="362"/>
      <c r="B470" s="362"/>
      <c r="C470" s="362"/>
    </row>
    <row r="471" spans="1:3">
      <c r="A471" s="362"/>
      <c r="B471" s="362"/>
      <c r="C471" s="362"/>
    </row>
    <row r="472" spans="1:3">
      <c r="A472" s="362"/>
      <c r="B472" s="362"/>
      <c r="C472" s="362"/>
    </row>
    <row r="473" spans="1:3">
      <c r="A473" s="362"/>
      <c r="B473" s="362"/>
      <c r="C473" s="362"/>
    </row>
    <row r="474" spans="1:3">
      <c r="A474" s="362"/>
      <c r="B474" s="362"/>
      <c r="C474" s="362"/>
    </row>
    <row r="475" spans="1:3">
      <c r="A475" s="362"/>
      <c r="B475" s="362"/>
      <c r="C475" s="362"/>
    </row>
    <row r="476" spans="1:3">
      <c r="A476" s="362"/>
      <c r="B476" s="362"/>
      <c r="C476" s="362"/>
    </row>
    <row r="477" spans="1:3">
      <c r="A477" s="362"/>
      <c r="B477" s="362"/>
      <c r="C477" s="362"/>
    </row>
    <row r="478" spans="1:3">
      <c r="A478" s="362"/>
      <c r="B478" s="362"/>
      <c r="C478" s="362"/>
    </row>
    <row r="479" spans="1:3">
      <c r="A479" s="362"/>
      <c r="B479" s="362"/>
      <c r="C479" s="362"/>
    </row>
    <row r="480" spans="1:3">
      <c r="A480" s="362"/>
      <c r="B480" s="362"/>
      <c r="C480" s="362"/>
    </row>
    <row r="481" spans="1:3">
      <c r="A481" s="362"/>
      <c r="B481" s="362"/>
      <c r="C481" s="362"/>
    </row>
    <row r="482" spans="1:3">
      <c r="A482" s="362"/>
      <c r="B482" s="362"/>
      <c r="C482" s="362"/>
    </row>
    <row r="483" spans="1:3">
      <c r="A483" s="362"/>
      <c r="B483" s="362"/>
      <c r="C483" s="362"/>
    </row>
    <row r="484" spans="1:3">
      <c r="A484" s="362"/>
      <c r="B484" s="362"/>
      <c r="C484" s="362"/>
    </row>
    <row r="485" spans="1:3">
      <c r="A485" s="362"/>
      <c r="B485" s="362"/>
      <c r="C485" s="362"/>
    </row>
    <row r="486" spans="1:3">
      <c r="A486" s="362"/>
      <c r="B486" s="362"/>
      <c r="C486" s="362"/>
    </row>
    <row r="487" spans="1:3">
      <c r="A487" s="362"/>
      <c r="B487" s="362"/>
      <c r="C487" s="362"/>
    </row>
    <row r="488" spans="1:3">
      <c r="A488" s="362"/>
      <c r="B488" s="362"/>
      <c r="C488" s="362"/>
    </row>
    <row r="489" spans="1:3">
      <c r="A489" s="362"/>
      <c r="B489" s="362"/>
      <c r="C489" s="362"/>
    </row>
    <row r="490" spans="1:3">
      <c r="A490" s="362"/>
      <c r="B490" s="362"/>
      <c r="C490" s="362"/>
    </row>
    <row r="491" spans="1:3">
      <c r="A491" s="362"/>
      <c r="B491" s="362"/>
    </row>
    <row r="492" spans="1:3">
      <c r="A492" s="362"/>
      <c r="B492" s="362"/>
    </row>
    <row r="493" spans="1:3">
      <c r="A493" s="362"/>
      <c r="B493" s="362"/>
    </row>
    <row r="494" spans="1:3">
      <c r="A494" s="362"/>
      <c r="B494" s="362"/>
    </row>
    <row r="495" spans="1:3">
      <c r="A495" s="362"/>
      <c r="B495" s="362"/>
    </row>
    <row r="496" spans="1:3">
      <c r="A496" s="362"/>
      <c r="B496" s="362"/>
    </row>
    <row r="497" spans="1:5">
      <c r="A497" s="362"/>
      <c r="B497" s="362"/>
    </row>
    <row r="498" spans="1:5">
      <c r="A498" s="362"/>
      <c r="B498" s="362"/>
    </row>
    <row r="499" spans="1:5">
      <c r="A499" s="362"/>
      <c r="B499" s="362"/>
    </row>
    <row r="500" spans="1:5" s="389" customFormat="1">
      <c r="A500" s="362"/>
      <c r="B500" s="362"/>
      <c r="D500" s="362"/>
      <c r="E500" s="362"/>
    </row>
    <row r="501" spans="1:5" s="389" customFormat="1">
      <c r="A501" s="362"/>
      <c r="B501" s="362"/>
      <c r="D501" s="362"/>
      <c r="E501" s="362"/>
    </row>
    <row r="502" spans="1:5" s="389" customFormat="1">
      <c r="A502" s="362"/>
      <c r="B502" s="362"/>
      <c r="D502" s="362"/>
      <c r="E502" s="362"/>
    </row>
    <row r="503" spans="1:5" s="389" customFormat="1">
      <c r="A503" s="362"/>
      <c r="B503" s="362"/>
      <c r="D503" s="362"/>
      <c r="E503" s="362"/>
    </row>
    <row r="504" spans="1:5" s="389" customFormat="1">
      <c r="A504" s="362"/>
      <c r="B504" s="362"/>
      <c r="D504" s="362"/>
      <c r="E504" s="362"/>
    </row>
    <row r="505" spans="1:5" s="389" customFormat="1">
      <c r="A505" s="362"/>
      <c r="B505" s="362"/>
      <c r="D505" s="362"/>
      <c r="E505" s="362"/>
    </row>
    <row r="506" spans="1:5" s="389" customFormat="1">
      <c r="A506" s="362"/>
      <c r="B506" s="362"/>
      <c r="D506" s="362"/>
      <c r="E506" s="362"/>
    </row>
    <row r="507" spans="1:5" s="389" customFormat="1">
      <c r="A507" s="362"/>
      <c r="B507" s="362"/>
      <c r="D507" s="362"/>
      <c r="E507" s="362"/>
    </row>
    <row r="508" spans="1:5" s="389" customFormat="1">
      <c r="A508" s="362"/>
      <c r="B508" s="362"/>
      <c r="D508" s="362"/>
      <c r="E508" s="362"/>
    </row>
    <row r="509" spans="1:5" s="389" customFormat="1">
      <c r="A509" s="362"/>
      <c r="B509" s="362"/>
      <c r="D509" s="362"/>
      <c r="E509" s="362"/>
    </row>
    <row r="510" spans="1:5" s="389" customFormat="1">
      <c r="A510" s="362"/>
      <c r="B510" s="362"/>
      <c r="D510" s="362"/>
      <c r="E510" s="362"/>
    </row>
    <row r="511" spans="1:5" s="389" customFormat="1">
      <c r="A511" s="362"/>
      <c r="B511" s="362"/>
      <c r="D511" s="362"/>
      <c r="E511" s="362"/>
    </row>
    <row r="512" spans="1:5" s="389" customFormat="1">
      <c r="A512" s="362"/>
      <c r="B512" s="362"/>
      <c r="D512" s="362"/>
      <c r="E512" s="362"/>
    </row>
    <row r="513" spans="1:5" s="389" customFormat="1">
      <c r="A513" s="362"/>
      <c r="B513" s="362"/>
      <c r="D513" s="362"/>
      <c r="E513" s="362"/>
    </row>
    <row r="514" spans="1:5" s="389" customFormat="1">
      <c r="A514" s="362"/>
      <c r="B514" s="362"/>
      <c r="D514" s="362"/>
      <c r="E514" s="362"/>
    </row>
    <row r="515" spans="1:5" s="389" customFormat="1">
      <c r="A515" s="362"/>
      <c r="B515" s="362"/>
      <c r="D515" s="362"/>
      <c r="E515" s="362"/>
    </row>
    <row r="516" spans="1:5" s="389" customFormat="1">
      <c r="A516" s="362"/>
      <c r="B516" s="362"/>
      <c r="D516" s="362"/>
      <c r="E516" s="362"/>
    </row>
    <row r="517" spans="1:5" s="389" customFormat="1">
      <c r="A517" s="362"/>
      <c r="B517" s="362"/>
      <c r="D517" s="362"/>
      <c r="E517" s="362"/>
    </row>
    <row r="518" spans="1:5" s="389" customFormat="1">
      <c r="A518" s="362"/>
      <c r="B518" s="362"/>
      <c r="D518" s="362"/>
      <c r="E518" s="362"/>
    </row>
  </sheetData>
  <sheetProtection sheet="1" objects="1" scenarios="1"/>
  <mergeCells count="1">
    <mergeCell ref="A4:B4"/>
  </mergeCells>
  <conditionalFormatting sqref="D10:D263">
    <cfRule type="expression" dxfId="7" priority="1">
      <formula>$D10=""</formula>
    </cfRule>
  </conditionalFormatting>
  <printOptions horizontalCentered="1"/>
  <pageMargins left="0.5" right="0.5" top="0.5" bottom="0.5" header="0.3" footer="0.3"/>
  <pageSetup scale="67" fitToHeight="4" orientation="portrait" r:id="rId1"/>
  <headerFooter>
    <oddFooter>&amp;LRevised 3/2013&amp;RPage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sheetPr codeName="Sheet11">
    <tabColor rgb="FFFFFF00"/>
  </sheetPr>
  <dimension ref="A1:J45"/>
  <sheetViews>
    <sheetView showGridLines="0" workbookViewId="0">
      <pane ySplit="4" topLeftCell="A5" activePane="bottomLeft" state="frozen"/>
      <selection pane="bottomLeft"/>
    </sheetView>
  </sheetViews>
  <sheetFormatPr defaultRowHeight="15"/>
  <cols>
    <col min="1" max="1" width="31" customWidth="1"/>
    <col min="2" max="4" width="11.7109375" customWidth="1"/>
    <col min="6" max="6" width="8.85546875" customWidth="1"/>
    <col min="7" max="7" width="8.85546875" hidden="1" customWidth="1"/>
    <col min="8" max="9" width="8.85546875" customWidth="1"/>
  </cols>
  <sheetData>
    <row r="1" spans="1:10" ht="18.75">
      <c r="A1" s="36" t="str">
        <f>'1-Indication'!A1</f>
        <v>Texas Department of Insurance</v>
      </c>
      <c r="E1" s="1276" t="s">
        <v>688</v>
      </c>
      <c r="F1" s="1277"/>
    </row>
    <row r="2" spans="1:10" ht="18.75">
      <c r="A2" s="36" t="str">
        <f>'1-Indication'!A2</f>
        <v>Property and Casualty Rate Filing Exhibits</v>
      </c>
    </row>
    <row r="3" spans="1:10">
      <c r="A3" s="853"/>
    </row>
    <row r="4" spans="1:10" s="888" customFormat="1" ht="15.75">
      <c r="A4" s="892" t="s">
        <v>686</v>
      </c>
    </row>
    <row r="5" spans="1:10" s="290" customFormat="1" ht="17.25">
      <c r="A5" s="334"/>
    </row>
    <row r="6" spans="1:10" ht="14.45" customHeight="1">
      <c r="A6" s="1279" t="s">
        <v>462</v>
      </c>
      <c r="B6" s="1279"/>
      <c r="C6" s="1279"/>
      <c r="D6" s="1279"/>
      <c r="E6" s="1279"/>
      <c r="F6" s="1279"/>
    </row>
    <row r="7" spans="1:10" s="293" customFormat="1" ht="14.45" customHeight="1">
      <c r="A7" s="1283" t="s">
        <v>780</v>
      </c>
      <c r="B7" s="1283"/>
      <c r="C7" s="1283"/>
      <c r="D7" s="1283"/>
      <c r="E7" s="1283"/>
      <c r="F7" s="1283"/>
    </row>
    <row r="8" spans="1:10" s="901" customFormat="1" ht="14.45" customHeight="1">
      <c r="A8" s="1284"/>
      <c r="B8" s="1284"/>
      <c r="C8" s="1284"/>
      <c r="D8" s="1284"/>
      <c r="E8" s="1284"/>
      <c r="F8" s="1284"/>
    </row>
    <row r="9" spans="1:10">
      <c r="A9" s="1278" t="s">
        <v>461</v>
      </c>
      <c r="B9" s="1287"/>
      <c r="C9" s="1288"/>
    </row>
    <row r="10" spans="1:10">
      <c r="A10" s="1278"/>
    </row>
    <row r="11" spans="1:10">
      <c r="A11" s="963" t="s">
        <v>786</v>
      </c>
      <c r="B11" s="1287"/>
      <c r="C11" s="1288"/>
      <c r="G11" s="1112" t="s">
        <v>111</v>
      </c>
    </row>
    <row r="12" spans="1:10">
      <c r="G12" s="1112" t="s">
        <v>700</v>
      </c>
      <c r="H12" s="621"/>
    </row>
    <row r="13" spans="1:10">
      <c r="A13" s="897" t="s">
        <v>699</v>
      </c>
      <c r="B13" s="1285" t="s">
        <v>111</v>
      </c>
      <c r="C13" s="1286"/>
      <c r="G13" s="1112" t="s">
        <v>701</v>
      </c>
      <c r="J13" s="496"/>
    </row>
    <row r="14" spans="1:10">
      <c r="J14" s="496"/>
    </row>
    <row r="15" spans="1:10">
      <c r="A15" t="s">
        <v>492</v>
      </c>
      <c r="B15" s="1287" t="s">
        <v>111</v>
      </c>
      <c r="C15" s="1288"/>
      <c r="G15" s="1112" t="s">
        <v>111</v>
      </c>
      <c r="H15" s="621"/>
    </row>
    <row r="16" spans="1:10">
      <c r="G16" s="1112" t="str">
        <f>IF(B13=G13,"With Calendar Year Losses","With Accident Year Losses")</f>
        <v>With Accident Year Losses</v>
      </c>
    </row>
    <row r="17" spans="1:8">
      <c r="A17" t="str">
        <f>TEXT("Latest ","") &amp; TEXT(IF(B13=G13,"Calendar Year","Accident Year"),"") &amp; TEXT(" Ending Date:","")</f>
        <v>Latest Accident Year Ending Date:</v>
      </c>
      <c r="B17" s="955"/>
      <c r="G17" s="1112" t="s">
        <v>488</v>
      </c>
    </row>
    <row r="18" spans="1:8">
      <c r="A18" s="963" t="str">
        <f>IF(B13=G13,"","Loss Experience Evaluation Date:")</f>
        <v>Loss Experience Evaluation Date:</v>
      </c>
      <c r="B18" s="955"/>
    </row>
    <row r="19" spans="1:8">
      <c r="A19" s="1282" t="s">
        <v>744</v>
      </c>
      <c r="B19" s="46"/>
    </row>
    <row r="20" spans="1:8">
      <c r="A20" s="1282"/>
      <c r="B20" s="955"/>
    </row>
    <row r="21" spans="1:8">
      <c r="A21" s="1281" t="s">
        <v>745</v>
      </c>
      <c r="B21" s="46"/>
    </row>
    <row r="22" spans="1:8">
      <c r="A22" s="1281"/>
      <c r="B22" s="955"/>
    </row>
    <row r="23" spans="1:8">
      <c r="G23" s="696" t="s">
        <v>111</v>
      </c>
    </row>
    <row r="24" spans="1:8">
      <c r="A24" s="963" t="s">
        <v>735</v>
      </c>
      <c r="B24" s="1118" t="s">
        <v>111</v>
      </c>
      <c r="G24" s="1112" t="s">
        <v>109</v>
      </c>
      <c r="H24" s="621"/>
    </row>
    <row r="25" spans="1:8">
      <c r="A25" s="963"/>
      <c r="G25" s="1112" t="s">
        <v>110</v>
      </c>
    </row>
    <row r="26" spans="1:8">
      <c r="A26" t="s">
        <v>460</v>
      </c>
      <c r="B26" s="1118" t="s">
        <v>111</v>
      </c>
      <c r="H26" s="621"/>
    </row>
    <row r="30" spans="1:8">
      <c r="A30" s="1280" t="s">
        <v>687</v>
      </c>
      <c r="B30" s="1280"/>
      <c r="C30" s="1280"/>
      <c r="D30" s="1280"/>
      <c r="E30" s="1280"/>
      <c r="F30" s="1280"/>
    </row>
    <row r="31" spans="1:8">
      <c r="A31" s="164"/>
      <c r="B31" s="164"/>
      <c r="C31" s="164"/>
      <c r="D31" s="164"/>
    </row>
    <row r="32" spans="1:8">
      <c r="A32" s="897" t="s">
        <v>702</v>
      </c>
      <c r="B32" s="1020">
        <f>'1-Indication'!K31</f>
        <v>0</v>
      </c>
    </row>
    <row r="33" spans="1:4">
      <c r="A33" t="s">
        <v>104</v>
      </c>
      <c r="B33" s="1021">
        <f>'1-Indication'!K33</f>
        <v>0</v>
      </c>
      <c r="C33" s="973" t="str">
        <f>IF(B33&lt;0,"",IF(B33&gt;B32,"Proposed cannot be greater than indicated!",""))</f>
        <v/>
      </c>
    </row>
    <row r="34" spans="1:4">
      <c r="B34" s="6"/>
    </row>
    <row r="35" spans="1:4">
      <c r="B35" s="6"/>
    </row>
    <row r="36" spans="1:4">
      <c r="A36" s="344" t="s">
        <v>108</v>
      </c>
      <c r="B36" s="1022" t="s">
        <v>107</v>
      </c>
      <c r="C36" s="1023" t="s">
        <v>106</v>
      </c>
      <c r="D36" s="1024" t="s">
        <v>105</v>
      </c>
    </row>
    <row r="37" spans="1:4">
      <c r="A37" t="s">
        <v>18</v>
      </c>
      <c r="B37" s="1025">
        <f>'5B-Loss Trend'!C9</f>
        <v>0</v>
      </c>
      <c r="C37" s="1019">
        <f>'3A-Premium Trend'!M37</f>
        <v>0</v>
      </c>
      <c r="D37" s="1026">
        <f>'6-Loss Ratio Trend'!D25</f>
        <v>0</v>
      </c>
    </row>
    <row r="38" spans="1:4">
      <c r="A38" t="s">
        <v>19</v>
      </c>
      <c r="B38" s="1027">
        <f>'5B-Loss Trend'!C10</f>
        <v>0</v>
      </c>
      <c r="C38" s="1028">
        <f>'3A-Premium Trend'!M38</f>
        <v>0</v>
      </c>
      <c r="D38" s="1029">
        <f>'6-Loss Ratio Trend'!D26</f>
        <v>0</v>
      </c>
    </row>
    <row r="39" spans="1:4">
      <c r="B39" s="423"/>
      <c r="C39" s="423"/>
      <c r="D39" s="423"/>
    </row>
    <row r="40" spans="1:4">
      <c r="B40" s="6"/>
    </row>
    <row r="41" spans="1:4">
      <c r="A41" t="s">
        <v>142</v>
      </c>
      <c r="B41" s="922">
        <f>'10-Fixed &amp; Variable Expenses'!H16</f>
        <v>0</v>
      </c>
    </row>
    <row r="42" spans="1:4">
      <c r="B42" s="12"/>
    </row>
    <row r="43" spans="1:4">
      <c r="B43" s="6"/>
    </row>
    <row r="44" spans="1:4">
      <c r="A44" t="s">
        <v>143</v>
      </c>
      <c r="B44" s="1020">
        <f>'15-Policyholder Impact'!D10</f>
        <v>0</v>
      </c>
    </row>
    <row r="45" spans="1:4">
      <c r="A45" t="s">
        <v>144</v>
      </c>
      <c r="B45" s="1021">
        <f>'15-Policyholder Impact'!D9</f>
        <v>0</v>
      </c>
    </row>
  </sheetData>
  <sheetProtection sheet="1" objects="1" scenarios="1"/>
  <mergeCells count="11">
    <mergeCell ref="E1:F1"/>
    <mergeCell ref="A9:A10"/>
    <mergeCell ref="A6:F6"/>
    <mergeCell ref="A30:F30"/>
    <mergeCell ref="A21:A22"/>
    <mergeCell ref="A19:A20"/>
    <mergeCell ref="A7:F8"/>
    <mergeCell ref="B13:C13"/>
    <mergeCell ref="B15:C15"/>
    <mergeCell ref="B11:C11"/>
    <mergeCell ref="B9:C9"/>
  </mergeCells>
  <conditionalFormatting sqref="B11 B17:B18 B20 B22">
    <cfRule type="expression" dxfId="124" priority="6">
      <formula>$B11=""</formula>
    </cfRule>
  </conditionalFormatting>
  <conditionalFormatting sqref="B9">
    <cfRule type="expression" dxfId="123" priority="5">
      <formula>$B9=""</formula>
    </cfRule>
  </conditionalFormatting>
  <conditionalFormatting sqref="B13 B15 B24 B26">
    <cfRule type="expression" dxfId="122" priority="4">
      <formula>OR($B13="Select",$B13="")</formula>
    </cfRule>
  </conditionalFormatting>
  <conditionalFormatting sqref="B18">
    <cfRule type="expression" dxfId="121" priority="1" stopIfTrue="1">
      <formula>$B$13=$G$13</formula>
    </cfRule>
  </conditionalFormatting>
  <dataValidations count="5">
    <dataValidation type="list" showInputMessage="1" showErrorMessage="1" sqref="B13:C13">
      <formula1>$G$11:$G$13</formula1>
    </dataValidation>
    <dataValidation type="list" showInputMessage="1" showErrorMessage="1" sqref="B15:C15">
      <formula1>$G$15:$G$17</formula1>
    </dataValidation>
    <dataValidation type="list" showInputMessage="1" showErrorMessage="1" sqref="B24 B26">
      <formula1>$G$23:$G$25</formula1>
    </dataValidation>
    <dataValidation type="textLength" allowBlank="1" showErrorMessage="1" errorTitle="Text Length" error="Please limit the Company Name to 18 characters.  Use a shortened name or initials, if necessary." promptTitle="Text Length" prompt="Please limit the Company Name to 18 characters.  Use a shortened name or initials, if necessary." sqref="B9:C9">
      <formula1>0</formula1>
      <formula2>18</formula2>
    </dataValidation>
    <dataValidation type="textLength" allowBlank="1" showInputMessage="1" showErrorMessage="1" errorTitle="Text Length" error="Please limit the Form/Peril to 18 characters.  Use a shortened name or initials, if necessary." sqref="B11:C11">
      <formula1>0</formula1>
      <formula2>18</formula2>
    </dataValidation>
  </dataValidations>
  <printOptions horizontalCentered="1"/>
  <pageMargins left="0.5" right="0.5" top="0.5" bottom="0.25" header="0.3" footer="0.3"/>
  <pageSetup orientation="portrait" r:id="rId1"/>
  <headerFooter>
    <oddFooter>&amp;LRevised 3/2013&amp;RPage &amp;P of &amp;N</oddFooter>
  </headerFooter>
</worksheet>
</file>

<file path=xl/worksheets/sheet4.xml><?xml version="1.0" encoding="utf-8"?>
<worksheet xmlns="http://schemas.openxmlformats.org/spreadsheetml/2006/main" xmlns:r="http://schemas.openxmlformats.org/officeDocument/2006/relationships">
  <sheetPr codeName="Sheet22">
    <pageSetUpPr fitToPage="1"/>
  </sheetPr>
  <dimension ref="A1:H49"/>
  <sheetViews>
    <sheetView showGridLines="0" zoomScaleNormal="100" workbookViewId="0">
      <pane xSplit="1" ySplit="5" topLeftCell="B24" activePane="bottomRight" state="frozen"/>
      <selection pane="topRight"/>
      <selection pane="bottomLeft"/>
      <selection pane="bottomRight"/>
    </sheetView>
  </sheetViews>
  <sheetFormatPr defaultRowHeight="15"/>
  <cols>
    <col min="1" max="1" width="3.140625" bestFit="1" customWidth="1"/>
    <col min="2" max="2" width="23.28515625" customWidth="1"/>
    <col min="3" max="3" width="23.140625" customWidth="1"/>
    <col min="4" max="5" width="19.7109375" customWidth="1"/>
    <col min="6" max="6" width="9.42578125" bestFit="1" customWidth="1"/>
    <col min="7" max="7" width="0" hidden="1" customWidth="1"/>
    <col min="8" max="8" width="8.85546875" customWidth="1"/>
  </cols>
  <sheetData>
    <row r="1" spans="2:5" ht="17.25">
      <c r="B1" s="9" t="str">
        <f>'D-Historical Experience'!B1</f>
        <v>Texas Department of Insurance</v>
      </c>
      <c r="E1" s="190" t="str">
        <f xml:space="preserve"> "Home - "&amp;MID(B4,9,2)</f>
        <v>Home - C1</v>
      </c>
    </row>
    <row r="2" spans="2:5" ht="17.25">
      <c r="B2" s="9" t="str">
        <f>'D-Historical Experience'!B2</f>
        <v>Property and Casualty Rate Filing Exhibits</v>
      </c>
    </row>
    <row r="4" spans="2:5" ht="15.75">
      <c r="B4" s="1199" t="s">
        <v>619</v>
      </c>
      <c r="C4" s="1211"/>
      <c r="D4" s="1124" t="s">
        <v>140</v>
      </c>
      <c r="E4" s="1127" t="str">
        <f>IF('General Information'!$B9="","",'General Information'!$B9)</f>
        <v/>
      </c>
    </row>
    <row r="5" spans="2:5" s="46" customFormat="1">
      <c r="D5" s="330"/>
      <c r="E5" s="332"/>
    </row>
    <row r="6" spans="2:5" s="46" customFormat="1"/>
    <row r="7" spans="2:5" s="46" customFormat="1">
      <c r="B7" s="924" t="s">
        <v>733</v>
      </c>
    </row>
    <row r="8" spans="2:5" s="46" customFormat="1"/>
    <row r="9" spans="2:5" s="46" customFormat="1">
      <c r="B9" s="1321">
        <v>-1</v>
      </c>
      <c r="C9" s="1321"/>
      <c r="D9" s="1">
        <f>B9-1</f>
        <v>-2</v>
      </c>
      <c r="E9" s="1">
        <f>D9-1</f>
        <v>-3</v>
      </c>
    </row>
    <row r="10" spans="2:5" s="46" customFormat="1" ht="29.45" customHeight="1">
      <c r="B10" s="1319" t="s">
        <v>734</v>
      </c>
      <c r="C10" s="1320"/>
      <c r="D10" s="345" t="s">
        <v>106</v>
      </c>
      <c r="E10" s="200" t="s">
        <v>15</v>
      </c>
    </row>
    <row r="11" spans="2:5" s="46" customFormat="1">
      <c r="B11" s="1317"/>
      <c r="C11" s="1318"/>
      <c r="D11" s="622"/>
      <c r="E11" s="623"/>
    </row>
    <row r="12" spans="2:5" s="46" customFormat="1">
      <c r="B12" s="1315"/>
      <c r="C12" s="1316"/>
      <c r="D12" s="624"/>
      <c r="E12" s="625"/>
    </row>
    <row r="13" spans="2:5" s="46" customFormat="1">
      <c r="B13" s="1313"/>
      <c r="C13" s="1314"/>
      <c r="D13" s="626"/>
      <c r="E13" s="627"/>
    </row>
    <row r="14" spans="2:5" s="46" customFormat="1">
      <c r="B14" s="1315"/>
      <c r="C14" s="1316"/>
      <c r="D14" s="628"/>
      <c r="E14" s="625"/>
    </row>
    <row r="15" spans="2:5" s="46" customFormat="1">
      <c r="B15" s="1313"/>
      <c r="C15" s="1314"/>
      <c r="D15" s="626"/>
      <c r="E15" s="627"/>
    </row>
    <row r="16" spans="2:5" s="46" customFormat="1">
      <c r="B16" s="1315"/>
      <c r="C16" s="1316"/>
      <c r="D16" s="624"/>
      <c r="E16" s="625"/>
    </row>
    <row r="17" spans="1:5" s="46" customFormat="1">
      <c r="B17" s="1313"/>
      <c r="C17" s="1314"/>
      <c r="D17" s="626"/>
      <c r="E17" s="627"/>
    </row>
    <row r="18" spans="1:5" s="46" customFormat="1">
      <c r="B18" s="1315"/>
      <c r="C18" s="1316"/>
      <c r="D18" s="624"/>
      <c r="E18" s="625"/>
    </row>
    <row r="19" spans="1:5" s="46" customFormat="1">
      <c r="B19" s="1313"/>
      <c r="C19" s="1314"/>
      <c r="D19" s="626"/>
      <c r="E19" s="627"/>
    </row>
    <row r="20" spans="1:5" s="46" customFormat="1">
      <c r="B20" s="1315"/>
      <c r="C20" s="1316"/>
      <c r="D20" s="624"/>
      <c r="E20" s="625"/>
    </row>
    <row r="21" spans="1:5" s="46" customFormat="1">
      <c r="B21" s="1313"/>
      <c r="C21" s="1314"/>
      <c r="D21" s="626"/>
      <c r="E21" s="627"/>
    </row>
    <row r="22" spans="1:5" s="46" customFormat="1">
      <c r="B22" s="1315"/>
      <c r="C22" s="1316"/>
      <c r="D22" s="624"/>
      <c r="E22" s="625"/>
    </row>
    <row r="23" spans="1:5" s="46" customFormat="1">
      <c r="B23" s="1313"/>
      <c r="C23" s="1314"/>
      <c r="D23" s="626"/>
      <c r="E23" s="627"/>
    </row>
    <row r="24" spans="1:5" s="46" customFormat="1">
      <c r="B24" s="1315"/>
      <c r="C24" s="1316"/>
      <c r="D24" s="624"/>
      <c r="E24" s="625"/>
    </row>
    <row r="25" spans="1:5" s="46" customFormat="1">
      <c r="B25" s="1313"/>
      <c r="C25" s="1314"/>
      <c r="D25" s="626"/>
      <c r="E25" s="627"/>
    </row>
    <row r="26" spans="1:5" s="46" customFormat="1">
      <c r="B26" s="1315"/>
      <c r="C26" s="1316"/>
      <c r="D26" s="624"/>
      <c r="E26" s="625"/>
    </row>
    <row r="27" spans="1:5" s="46" customFormat="1">
      <c r="B27" s="1313"/>
      <c r="C27" s="1314"/>
      <c r="D27" s="626"/>
      <c r="E27" s="627"/>
    </row>
    <row r="28" spans="1:5" s="46" customFormat="1">
      <c r="B28" s="1293"/>
      <c r="C28" s="1294"/>
      <c r="D28" s="629"/>
      <c r="E28" s="630"/>
    </row>
    <row r="29" spans="1:5" s="6" customFormat="1">
      <c r="B29" s="1291" t="s">
        <v>867</v>
      </c>
      <c r="C29" s="1292"/>
      <c r="D29" s="198">
        <f>SUM(D11:D28)</f>
        <v>0</v>
      </c>
      <c r="E29" s="199">
        <f>IFERROR(SUMPRODUCT(D11:D28,E11:E28)/D29,0)</f>
        <v>0</v>
      </c>
    </row>
    <row r="30" spans="1:5">
      <c r="C30" s="963"/>
    </row>
    <row r="32" spans="1:5" ht="14.45" customHeight="1">
      <c r="A32" s="157">
        <f>E9-1</f>
        <v>-4</v>
      </c>
      <c r="B32" s="1304" t="s">
        <v>868</v>
      </c>
      <c r="C32" s="1305"/>
      <c r="D32" s="1305"/>
      <c r="E32" s="1306"/>
    </row>
    <row r="33" spans="1:8">
      <c r="B33" s="1307"/>
      <c r="C33" s="1308"/>
      <c r="D33" s="1308"/>
      <c r="E33" s="1309"/>
    </row>
    <row r="34" spans="1:8">
      <c r="B34" s="1310"/>
      <c r="C34" s="1311"/>
      <c r="D34" s="1311"/>
      <c r="E34" s="1312"/>
    </row>
    <row r="35" spans="1:8" s="963" customFormat="1">
      <c r="B35" s="1298"/>
      <c r="C35" s="1299"/>
      <c r="D35" s="1299"/>
      <c r="E35" s="1300"/>
    </row>
    <row r="36" spans="1:8">
      <c r="B36" s="1298"/>
      <c r="C36" s="1299"/>
      <c r="D36" s="1299"/>
      <c r="E36" s="1300"/>
    </row>
    <row r="37" spans="1:8">
      <c r="B37" s="1301"/>
      <c r="C37" s="1302"/>
      <c r="D37" s="1302"/>
      <c r="E37" s="1303"/>
    </row>
    <row r="39" spans="1:8" ht="14.45" customHeight="1">
      <c r="A39" s="157">
        <f>A32-1</f>
        <v>-5</v>
      </c>
      <c r="B39" s="1295" t="s">
        <v>545</v>
      </c>
      <c r="C39" s="1296"/>
      <c r="D39" s="1296"/>
      <c r="E39" s="1297"/>
      <c r="G39" s="963" t="s">
        <v>111</v>
      </c>
      <c r="H39" s="621"/>
    </row>
    <row r="40" spans="1:8">
      <c r="B40" s="1289" t="s">
        <v>111</v>
      </c>
      <c r="C40" s="1290"/>
      <c r="D40" s="1144"/>
      <c r="E40" s="1145"/>
      <c r="G40" s="963" t="s">
        <v>842</v>
      </c>
      <c r="H40" s="621"/>
    </row>
    <row r="41" spans="1:8">
      <c r="G41" s="963" t="s">
        <v>843</v>
      </c>
    </row>
    <row r="44" spans="1:8" ht="12" customHeight="1">
      <c r="B44" s="344" t="s">
        <v>515</v>
      </c>
    </row>
    <row r="45" spans="1:8" ht="12" customHeight="1">
      <c r="A45" s="157">
        <v>-1</v>
      </c>
      <c r="B45" s="277" t="s">
        <v>145</v>
      </c>
    </row>
    <row r="46" spans="1:8" ht="12" customHeight="1">
      <c r="A46" s="157">
        <f>A45-1</f>
        <v>-2</v>
      </c>
      <c r="B46" s="277" t="s">
        <v>145</v>
      </c>
    </row>
    <row r="47" spans="1:8" ht="12" customHeight="1">
      <c r="A47" s="157">
        <f t="shared" ref="A47" si="0">A46-1</f>
        <v>-3</v>
      </c>
      <c r="B47" s="277" t="s">
        <v>145</v>
      </c>
    </row>
    <row r="48" spans="1:8" ht="12" customHeight="1">
      <c r="A48" s="88"/>
      <c r="B48" s="963" t="s">
        <v>778</v>
      </c>
    </row>
    <row r="49" spans="1:1">
      <c r="A49" s="157"/>
    </row>
  </sheetData>
  <sheetProtection sheet="1" objects="1" scenarios="1"/>
  <mergeCells count="25">
    <mergeCell ref="B12:C12"/>
    <mergeCell ref="B11:C11"/>
    <mergeCell ref="B10:C10"/>
    <mergeCell ref="B9:C9"/>
    <mergeCell ref="B17:C17"/>
    <mergeCell ref="B16:C16"/>
    <mergeCell ref="B15:C15"/>
    <mergeCell ref="B14:C14"/>
    <mergeCell ref="B13:C13"/>
    <mergeCell ref="B22:C22"/>
    <mergeCell ref="B21:C21"/>
    <mergeCell ref="B20:C20"/>
    <mergeCell ref="B19:C19"/>
    <mergeCell ref="B18:C18"/>
    <mergeCell ref="B27:C27"/>
    <mergeCell ref="B26:C26"/>
    <mergeCell ref="B25:C25"/>
    <mergeCell ref="B24:C24"/>
    <mergeCell ref="B23:C23"/>
    <mergeCell ref="B40:C40"/>
    <mergeCell ref="B29:C29"/>
    <mergeCell ref="B28:C28"/>
    <mergeCell ref="B39:E39"/>
    <mergeCell ref="B35:E37"/>
    <mergeCell ref="B32:E34"/>
  </mergeCells>
  <conditionalFormatting sqref="B11:B28 D11:E28">
    <cfRule type="expression" dxfId="120" priority="4">
      <formula>$B$11=""</formula>
    </cfRule>
  </conditionalFormatting>
  <conditionalFormatting sqref="B35">
    <cfRule type="expression" dxfId="119" priority="3">
      <formula>$B$35=""</formula>
    </cfRule>
  </conditionalFormatting>
  <conditionalFormatting sqref="B40:E40">
    <cfRule type="expression" dxfId="118" priority="7">
      <formula>$B$40=$G$39</formula>
    </cfRule>
  </conditionalFormatting>
  <conditionalFormatting sqref="D11:E28">
    <cfRule type="expression" dxfId="117" priority="1">
      <formula>AND(NOT($B11=""),D11="")</formula>
    </cfRule>
  </conditionalFormatting>
  <dataValidations count="1">
    <dataValidation type="list" allowBlank="1" showInputMessage="1" showErrorMessage="1" sqref="B40">
      <formula1>$G$39:$G$41</formula1>
    </dataValidation>
  </dataValidations>
  <printOptions horizontalCentered="1"/>
  <pageMargins left="0.5" right="0.5" top="0.5" bottom="0.5" header="0.3" footer="0.3"/>
  <pageSetup orientation="portrait" r:id="rId1"/>
  <headerFooter>
    <oddFooter>&amp;LRevised 3/2013&amp;RPage &amp;P of &amp;N</oddFooter>
  </headerFooter>
</worksheet>
</file>

<file path=xl/worksheets/sheet5.xml><?xml version="1.0" encoding="utf-8"?>
<worksheet xmlns="http://schemas.openxmlformats.org/spreadsheetml/2006/main" xmlns:r="http://schemas.openxmlformats.org/officeDocument/2006/relationships">
  <sheetPr codeName="Sheet24">
    <pageSetUpPr fitToPage="1"/>
  </sheetPr>
  <dimension ref="A1:G30"/>
  <sheetViews>
    <sheetView showGridLines="0" workbookViewId="0">
      <pane ySplit="6" topLeftCell="A7" activePane="bottomLeft" state="frozen"/>
      <selection pane="bottomLeft"/>
    </sheetView>
  </sheetViews>
  <sheetFormatPr defaultRowHeight="15"/>
  <cols>
    <col min="1" max="3" width="16.7109375" customWidth="1"/>
    <col min="4" max="4" width="36.7109375" customWidth="1"/>
    <col min="5" max="5" width="16.7109375" customWidth="1"/>
    <col min="6" max="6" width="8.5703125" bestFit="1" customWidth="1"/>
  </cols>
  <sheetData>
    <row r="1" spans="1:7" ht="17.25">
      <c r="A1" s="9" t="str">
        <f>'15-Policyholder Impact'!B1</f>
        <v>Texas Department of Insurance</v>
      </c>
      <c r="B1" s="129"/>
      <c r="C1" s="129"/>
      <c r="D1" s="129"/>
      <c r="E1" s="190" t="str">
        <f xml:space="preserve"> "Home - "&amp;MID(A4,9,2)</f>
        <v>Home - C2</v>
      </c>
    </row>
    <row r="2" spans="1:7" ht="17.25">
      <c r="A2" s="9" t="str">
        <f>'15-Policyholder Impact'!B2</f>
        <v>Property and Casualty Rate Filing Exhibits</v>
      </c>
      <c r="B2" s="129"/>
      <c r="C2" s="129"/>
      <c r="D2" s="129"/>
      <c r="E2" s="129"/>
      <c r="F2" s="129"/>
    </row>
    <row r="3" spans="1:7">
      <c r="A3" s="129"/>
      <c r="B3" s="129"/>
      <c r="C3" s="129"/>
      <c r="D3" s="129"/>
      <c r="E3" s="129"/>
      <c r="F3" s="129"/>
    </row>
    <row r="4" spans="1:7" ht="15.75">
      <c r="A4" s="1330" t="s">
        <v>620</v>
      </c>
      <c r="B4" s="1331"/>
      <c r="C4" s="1332"/>
      <c r="D4" s="1124" t="s">
        <v>140</v>
      </c>
      <c r="E4" s="1127" t="str">
        <f>'C1-Statewide Avg Rate Level Chg'!E4</f>
        <v/>
      </c>
      <c r="F4" s="129"/>
    </row>
    <row r="5" spans="1:7">
      <c r="A5" s="129"/>
      <c r="B5" s="129"/>
      <c r="C5" s="129"/>
      <c r="D5" s="330"/>
      <c r="E5" s="332"/>
      <c r="F5" s="129"/>
    </row>
    <row r="6" spans="1:7" s="609" customFormat="1">
      <c r="A6" s="129"/>
      <c r="B6" s="129"/>
      <c r="C6" s="129"/>
      <c r="D6" s="330"/>
      <c r="E6" s="332"/>
      <c r="F6" s="129"/>
    </row>
    <row r="7" spans="1:7">
      <c r="A7" s="129"/>
      <c r="B7" s="129"/>
      <c r="C7" s="129"/>
      <c r="D7" s="129"/>
      <c r="E7" s="129"/>
      <c r="F7" s="129"/>
    </row>
    <row r="8" spans="1:7" s="963" customFormat="1">
      <c r="A8" s="924" t="s">
        <v>818</v>
      </c>
      <c r="B8" s="129"/>
      <c r="C8" s="129"/>
      <c r="D8" s="129"/>
      <c r="E8" s="129"/>
      <c r="F8" s="129"/>
    </row>
    <row r="9" spans="1:7" s="963" customFormat="1">
      <c r="A9" s="129"/>
      <c r="B9" s="129"/>
      <c r="C9" s="129"/>
      <c r="D9" s="129"/>
      <c r="E9" s="129"/>
      <c r="F9" s="129"/>
    </row>
    <row r="10" spans="1:7" s="203" customFormat="1" ht="29.45" customHeight="1">
      <c r="A10" s="200" t="s">
        <v>99</v>
      </c>
      <c r="B10" s="200" t="s">
        <v>98</v>
      </c>
      <c r="C10" s="201" t="s">
        <v>490</v>
      </c>
      <c r="D10" s="1333" t="s">
        <v>97</v>
      </c>
      <c r="E10" s="1334"/>
      <c r="F10" s="202"/>
      <c r="G10" s="202"/>
    </row>
    <row r="11" spans="1:7">
      <c r="A11" s="631"/>
      <c r="B11" s="632"/>
      <c r="C11" s="633"/>
      <c r="D11" s="1335"/>
      <c r="E11" s="1336"/>
      <c r="F11" s="129"/>
      <c r="G11" s="129"/>
    </row>
    <row r="12" spans="1:7">
      <c r="A12" s="634"/>
      <c r="B12" s="635"/>
      <c r="C12" s="636"/>
      <c r="D12" s="1328"/>
      <c r="E12" s="1329"/>
      <c r="F12" s="129"/>
      <c r="G12" s="129"/>
    </row>
    <row r="13" spans="1:7">
      <c r="A13" s="637"/>
      <c r="B13" s="638"/>
      <c r="C13" s="639"/>
      <c r="D13" s="1322"/>
      <c r="E13" s="1323"/>
      <c r="F13" s="129"/>
      <c r="G13" s="129"/>
    </row>
    <row r="14" spans="1:7">
      <c r="A14" s="634"/>
      <c r="B14" s="635"/>
      <c r="C14" s="636"/>
      <c r="D14" s="1328"/>
      <c r="E14" s="1329"/>
      <c r="F14" s="129"/>
      <c r="G14" s="129"/>
    </row>
    <row r="15" spans="1:7">
      <c r="A15" s="637"/>
      <c r="B15" s="638"/>
      <c r="C15" s="639"/>
      <c r="D15" s="1322"/>
      <c r="E15" s="1323"/>
      <c r="F15" s="129"/>
      <c r="G15" s="129"/>
    </row>
    <row r="16" spans="1:7">
      <c r="A16" s="634"/>
      <c r="B16" s="635"/>
      <c r="C16" s="636"/>
      <c r="D16" s="1328"/>
      <c r="E16" s="1329"/>
      <c r="F16" s="129"/>
      <c r="G16" s="129"/>
    </row>
    <row r="17" spans="1:7">
      <c r="A17" s="637"/>
      <c r="B17" s="638"/>
      <c r="C17" s="639"/>
      <c r="D17" s="1322"/>
      <c r="E17" s="1323"/>
      <c r="F17" s="129"/>
      <c r="G17" s="129"/>
    </row>
    <row r="18" spans="1:7">
      <c r="A18" s="634"/>
      <c r="B18" s="635"/>
      <c r="C18" s="636"/>
      <c r="D18" s="1328"/>
      <c r="E18" s="1329"/>
      <c r="F18" s="129"/>
      <c r="G18" s="129"/>
    </row>
    <row r="19" spans="1:7">
      <c r="A19" s="640"/>
      <c r="B19" s="641"/>
      <c r="C19" s="642"/>
      <c r="D19" s="1322"/>
      <c r="E19" s="1323"/>
      <c r="F19" s="129"/>
      <c r="G19" s="129"/>
    </row>
    <row r="20" spans="1:7">
      <c r="A20" s="634"/>
      <c r="B20" s="635"/>
      <c r="C20" s="636"/>
      <c r="D20" s="1328"/>
      <c r="E20" s="1329"/>
      <c r="F20" s="129"/>
      <c r="G20" s="129"/>
    </row>
    <row r="21" spans="1:7">
      <c r="A21" s="640"/>
      <c r="B21" s="641"/>
      <c r="C21" s="642"/>
      <c r="D21" s="1322"/>
      <c r="E21" s="1323"/>
      <c r="F21" s="129"/>
      <c r="G21" s="129"/>
    </row>
    <row r="22" spans="1:7">
      <c r="A22" s="634"/>
      <c r="B22" s="635"/>
      <c r="C22" s="636"/>
      <c r="D22" s="1328"/>
      <c r="E22" s="1329"/>
      <c r="F22" s="129"/>
      <c r="G22" s="129"/>
    </row>
    <row r="23" spans="1:7">
      <c r="A23" s="640"/>
      <c r="B23" s="641"/>
      <c r="C23" s="642"/>
      <c r="D23" s="1322"/>
      <c r="E23" s="1323"/>
      <c r="F23" s="129"/>
      <c r="G23" s="129"/>
    </row>
    <row r="24" spans="1:7">
      <c r="A24" s="634"/>
      <c r="B24" s="635"/>
      <c r="C24" s="636"/>
      <c r="D24" s="1328"/>
      <c r="E24" s="1329"/>
      <c r="F24" s="129"/>
      <c r="G24" s="129"/>
    </row>
    <row r="25" spans="1:7">
      <c r="A25" s="640"/>
      <c r="B25" s="641"/>
      <c r="C25" s="642"/>
      <c r="D25" s="1322"/>
      <c r="E25" s="1323"/>
      <c r="F25" s="129"/>
      <c r="G25" s="129"/>
    </row>
    <row r="26" spans="1:7">
      <c r="A26" s="634"/>
      <c r="B26" s="635"/>
      <c r="C26" s="636"/>
      <c r="D26" s="1328"/>
      <c r="E26" s="1329"/>
      <c r="F26" s="129"/>
      <c r="G26" s="129"/>
    </row>
    <row r="27" spans="1:7">
      <c r="A27" s="637"/>
      <c r="B27" s="638"/>
      <c r="C27" s="639"/>
      <c r="D27" s="1322"/>
      <c r="E27" s="1323"/>
      <c r="F27" s="129"/>
      <c r="G27" s="129"/>
    </row>
    <row r="28" spans="1:7">
      <c r="A28" s="634"/>
      <c r="B28" s="635"/>
      <c r="C28" s="636"/>
      <c r="D28" s="1328"/>
      <c r="E28" s="1329"/>
      <c r="F28" s="129"/>
      <c r="G28" s="129"/>
    </row>
    <row r="29" spans="1:7">
      <c r="A29" s="637"/>
      <c r="B29" s="638"/>
      <c r="C29" s="639"/>
      <c r="D29" s="1326"/>
      <c r="E29" s="1327"/>
      <c r="F29" s="129"/>
      <c r="G29" s="129"/>
    </row>
    <row r="30" spans="1:7">
      <c r="A30" s="643"/>
      <c r="B30" s="644"/>
      <c r="C30" s="645"/>
      <c r="D30" s="1324"/>
      <c r="E30" s="1325"/>
      <c r="F30" s="129"/>
      <c r="G30" s="129"/>
    </row>
  </sheetData>
  <sheetProtection sheet="1" objects="1" scenarios="1"/>
  <mergeCells count="22">
    <mergeCell ref="A4:C4"/>
    <mergeCell ref="D10:E10"/>
    <mergeCell ref="D16:E16"/>
    <mergeCell ref="D15:E15"/>
    <mergeCell ref="D14:E14"/>
    <mergeCell ref="D13:E13"/>
    <mergeCell ref="D12:E12"/>
    <mergeCell ref="D11:E11"/>
    <mergeCell ref="D17:E17"/>
    <mergeCell ref="D30:E30"/>
    <mergeCell ref="D29:E29"/>
    <mergeCell ref="D28:E28"/>
    <mergeCell ref="D27:E27"/>
    <mergeCell ref="D26:E26"/>
    <mergeCell ref="D25:E25"/>
    <mergeCell ref="D24:E24"/>
    <mergeCell ref="D23:E23"/>
    <mergeCell ref="D22:E22"/>
    <mergeCell ref="D21:E21"/>
    <mergeCell ref="D20:E20"/>
    <mergeCell ref="D19:E19"/>
    <mergeCell ref="D18:E18"/>
  </mergeCells>
  <conditionalFormatting sqref="A11:E30">
    <cfRule type="expression" dxfId="116" priority="1">
      <formula>A$11=""</formula>
    </cfRule>
  </conditionalFormatting>
  <printOptions horizontalCentered="1"/>
  <pageMargins left="0.5" right="0.5" top="0.5" bottom="0.5" header="0.3" footer="0.3"/>
  <pageSetup scale="92" orientation="portrait" r:id="rId1"/>
  <headerFooter>
    <oddFooter>&amp;LRevised 3/2013&amp;RPage &amp;P of &amp;N</oddFooter>
  </headerFooter>
</worksheet>
</file>

<file path=xl/worksheets/sheet6.xml><?xml version="1.0" encoding="utf-8"?>
<worksheet xmlns="http://schemas.openxmlformats.org/spreadsheetml/2006/main" xmlns:r="http://schemas.openxmlformats.org/officeDocument/2006/relationships">
  <sheetPr codeName="Sheet23">
    <pageSetUpPr fitToPage="1"/>
  </sheetPr>
  <dimension ref="A1:E60"/>
  <sheetViews>
    <sheetView showGridLines="0" workbookViewId="0">
      <pane ySplit="6" topLeftCell="A7" activePane="bottomLeft" state="frozen"/>
      <selection pane="bottomLeft"/>
    </sheetView>
  </sheetViews>
  <sheetFormatPr defaultRowHeight="15"/>
  <cols>
    <col min="1" max="1" width="35.7109375" customWidth="1"/>
    <col min="2" max="2" width="15.7109375" customWidth="1"/>
    <col min="4" max="4" width="35.7109375" customWidth="1"/>
    <col min="5" max="5" width="15.7109375" style="6" customWidth="1"/>
  </cols>
  <sheetData>
    <row r="1" spans="1:5" ht="17.25">
      <c r="A1" s="9" t="str">
        <f>'D-Historical Experience'!B1</f>
        <v>Texas Department of Insurance</v>
      </c>
      <c r="E1" s="190" t="str">
        <f xml:space="preserve"> "Home - "&amp;MID(A4,9,2)</f>
        <v>Home - C3</v>
      </c>
    </row>
    <row r="2" spans="1:5" ht="17.25">
      <c r="A2" s="9" t="str">
        <f>'D-Historical Experience'!B2</f>
        <v>Property and Casualty Rate Filing Exhibits</v>
      </c>
    </row>
    <row r="4" spans="1:5" ht="15.75">
      <c r="A4" s="895" t="s">
        <v>491</v>
      </c>
      <c r="B4" s="166"/>
      <c r="C4" s="163"/>
      <c r="D4" s="1120" t="s">
        <v>140</v>
      </c>
      <c r="E4" s="1122" t="str">
        <f>'C2-Rate Change History'!E4</f>
        <v/>
      </c>
    </row>
    <row r="5" spans="1:5" s="46" customFormat="1">
      <c r="E5" s="500"/>
    </row>
    <row r="6" spans="1:5" s="46" customFormat="1">
      <c r="A6" s="956" t="s">
        <v>730</v>
      </c>
      <c r="D6" s="330"/>
    </row>
    <row r="7" spans="1:5" s="46" customFormat="1"/>
    <row r="8" spans="1:5" s="46" customFormat="1">
      <c r="A8" s="220" t="s">
        <v>101</v>
      </c>
      <c r="B8" s="1074"/>
      <c r="D8" s="220" t="s">
        <v>101</v>
      </c>
      <c r="E8" s="1081"/>
    </row>
    <row r="9" spans="1:5" s="46" customFormat="1" ht="28.15" customHeight="1">
      <c r="A9" s="531" t="s">
        <v>100</v>
      </c>
      <c r="B9" s="275" t="s">
        <v>15</v>
      </c>
      <c r="D9" s="531" t="s">
        <v>100</v>
      </c>
      <c r="E9" s="1073" t="s">
        <v>621</v>
      </c>
    </row>
    <row r="10" spans="1:5" s="46" customFormat="1">
      <c r="A10" s="646"/>
      <c r="B10" s="647"/>
      <c r="D10" s="813"/>
      <c r="E10" s="1072"/>
    </row>
    <row r="11" spans="1:5" s="46" customFormat="1">
      <c r="A11" s="648"/>
      <c r="B11" s="649"/>
      <c r="D11" s="648"/>
      <c r="E11" s="1075"/>
    </row>
    <row r="12" spans="1:5" s="46" customFormat="1">
      <c r="A12" s="650"/>
      <c r="B12" s="651"/>
      <c r="D12" s="650"/>
      <c r="E12" s="1076"/>
    </row>
    <row r="13" spans="1:5" s="46" customFormat="1">
      <c r="A13" s="652"/>
      <c r="B13" s="649"/>
      <c r="D13" s="652"/>
      <c r="E13" s="1075"/>
    </row>
    <row r="14" spans="1:5" s="46" customFormat="1">
      <c r="A14" s="650"/>
      <c r="B14" s="651"/>
      <c r="D14" s="650"/>
      <c r="E14" s="1076"/>
    </row>
    <row r="15" spans="1:5" s="46" customFormat="1">
      <c r="A15" s="652"/>
      <c r="B15" s="649"/>
      <c r="D15" s="652"/>
      <c r="E15" s="1075"/>
    </row>
    <row r="16" spans="1:5" s="46" customFormat="1">
      <c r="A16" s="650"/>
      <c r="B16" s="651"/>
      <c r="D16" s="650"/>
      <c r="E16" s="1076"/>
    </row>
    <row r="17" spans="1:5" s="46" customFormat="1">
      <c r="A17" s="652"/>
      <c r="B17" s="649"/>
      <c r="D17" s="652"/>
      <c r="E17" s="1075"/>
    </row>
    <row r="18" spans="1:5" s="46" customFormat="1">
      <c r="A18" s="650"/>
      <c r="B18" s="651"/>
      <c r="D18" s="650"/>
      <c r="E18" s="1076"/>
    </row>
    <row r="19" spans="1:5" s="46" customFormat="1">
      <c r="A19" s="652"/>
      <c r="B19" s="649"/>
      <c r="D19" s="652"/>
      <c r="E19" s="1075"/>
    </row>
    <row r="20" spans="1:5" s="46" customFormat="1">
      <c r="A20" s="650"/>
      <c r="B20" s="651"/>
      <c r="D20" s="650"/>
      <c r="E20" s="1076"/>
    </row>
    <row r="21" spans="1:5" s="46" customFormat="1">
      <c r="A21" s="652"/>
      <c r="B21" s="649"/>
      <c r="D21" s="652"/>
      <c r="E21" s="1075"/>
    </row>
    <row r="22" spans="1:5" s="46" customFormat="1">
      <c r="A22" s="650"/>
      <c r="B22" s="651"/>
      <c r="D22" s="650"/>
      <c r="E22" s="1076"/>
    </row>
    <row r="23" spans="1:5" s="46" customFormat="1">
      <c r="A23" s="652"/>
      <c r="B23" s="649"/>
      <c r="D23" s="652"/>
      <c r="E23" s="1075"/>
    </row>
    <row r="24" spans="1:5" s="46" customFormat="1">
      <c r="A24" s="650"/>
      <c r="B24" s="651"/>
      <c r="D24" s="650"/>
      <c r="E24" s="1076"/>
    </row>
    <row r="25" spans="1:5" s="46" customFormat="1">
      <c r="A25" s="652"/>
      <c r="B25" s="649"/>
      <c r="D25" s="652"/>
      <c r="E25" s="1075"/>
    </row>
    <row r="26" spans="1:5" s="46" customFormat="1">
      <c r="A26" s="650"/>
      <c r="B26" s="651"/>
      <c r="D26" s="650"/>
      <c r="E26" s="1076"/>
    </row>
    <row r="27" spans="1:5" s="46" customFormat="1">
      <c r="A27" s="653"/>
      <c r="B27" s="654"/>
      <c r="D27" s="653"/>
      <c r="E27" s="1077"/>
    </row>
    <row r="28" spans="1:5" s="6" customFormat="1">
      <c r="A28" s="159" t="str">
        <f>TEXT(B8,"")&amp;TEXT(" Overall Impact","")</f>
        <v xml:space="preserve"> Overall Impact</v>
      </c>
      <c r="B28" s="655"/>
      <c r="D28" s="476" t="str">
        <f>TEXT(E8,"")&amp;TEXT(" Overall Impact","")</f>
        <v xml:space="preserve"> Overall Impact</v>
      </c>
      <c r="E28" s="1082"/>
    </row>
    <row r="30" spans="1:5" s="609" customFormat="1">
      <c r="E30" s="6"/>
    </row>
    <row r="32" spans="1:5">
      <c r="A32" s="220" t="s">
        <v>101</v>
      </c>
      <c r="B32" s="1074"/>
      <c r="D32" s="220" t="s">
        <v>101</v>
      </c>
      <c r="E32" s="1081"/>
    </row>
    <row r="33" spans="1:5" ht="29.45" customHeight="1">
      <c r="A33" s="531" t="s">
        <v>100</v>
      </c>
      <c r="B33" s="275" t="s">
        <v>15</v>
      </c>
      <c r="D33" s="531" t="s">
        <v>100</v>
      </c>
      <c r="E33" s="1073" t="s">
        <v>621</v>
      </c>
    </row>
    <row r="34" spans="1:5">
      <c r="A34" s="650"/>
      <c r="B34" s="651"/>
      <c r="D34" s="813"/>
      <c r="E34" s="1072"/>
    </row>
    <row r="35" spans="1:5">
      <c r="A35" s="652"/>
      <c r="B35" s="649"/>
      <c r="D35" s="648"/>
      <c r="E35" s="1075"/>
    </row>
    <row r="36" spans="1:5">
      <c r="A36" s="650"/>
      <c r="B36" s="651"/>
      <c r="D36" s="650"/>
      <c r="E36" s="1076"/>
    </row>
    <row r="37" spans="1:5">
      <c r="A37" s="652"/>
      <c r="B37" s="649"/>
      <c r="D37" s="652"/>
      <c r="E37" s="1075"/>
    </row>
    <row r="38" spans="1:5">
      <c r="A38" s="650"/>
      <c r="B38" s="651"/>
      <c r="D38" s="650"/>
      <c r="E38" s="1076"/>
    </row>
    <row r="39" spans="1:5">
      <c r="A39" s="652"/>
      <c r="B39" s="649"/>
      <c r="D39" s="652"/>
      <c r="E39" s="1075"/>
    </row>
    <row r="40" spans="1:5">
      <c r="A40" s="650"/>
      <c r="B40" s="651"/>
      <c r="D40" s="650"/>
      <c r="E40" s="1076"/>
    </row>
    <row r="41" spans="1:5">
      <c r="A41" s="652"/>
      <c r="B41" s="649"/>
      <c r="D41" s="652"/>
      <c r="E41" s="1075"/>
    </row>
    <row r="42" spans="1:5">
      <c r="A42" s="650"/>
      <c r="B42" s="651"/>
      <c r="D42" s="650"/>
      <c r="E42" s="1076"/>
    </row>
    <row r="43" spans="1:5">
      <c r="A43" s="652"/>
      <c r="B43" s="649"/>
      <c r="D43" s="652"/>
      <c r="E43" s="1075"/>
    </row>
    <row r="44" spans="1:5">
      <c r="A44" s="650"/>
      <c r="B44" s="651"/>
      <c r="D44" s="650"/>
      <c r="E44" s="1076"/>
    </row>
    <row r="45" spans="1:5">
      <c r="A45" s="652"/>
      <c r="B45" s="649"/>
      <c r="D45" s="652"/>
      <c r="E45" s="1075"/>
    </row>
    <row r="46" spans="1:5">
      <c r="A46" s="650"/>
      <c r="B46" s="651"/>
      <c r="D46" s="650"/>
      <c r="E46" s="1076"/>
    </row>
    <row r="47" spans="1:5">
      <c r="A47" s="652"/>
      <c r="B47" s="649"/>
      <c r="D47" s="652"/>
      <c r="E47" s="1075"/>
    </row>
    <row r="48" spans="1:5">
      <c r="A48" s="650"/>
      <c r="B48" s="651"/>
      <c r="D48" s="650"/>
      <c r="E48" s="1076"/>
    </row>
    <row r="49" spans="1:5">
      <c r="A49" s="652"/>
      <c r="B49" s="649"/>
      <c r="D49" s="652"/>
      <c r="E49" s="1075"/>
    </row>
    <row r="50" spans="1:5">
      <c r="A50" s="650"/>
      <c r="B50" s="651"/>
      <c r="D50" s="650"/>
      <c r="E50" s="1076"/>
    </row>
    <row r="51" spans="1:5">
      <c r="A51" s="653"/>
      <c r="B51" s="654"/>
      <c r="D51" s="814"/>
      <c r="E51" s="1077"/>
    </row>
    <row r="52" spans="1:5">
      <c r="A52" s="182" t="str">
        <f>TEXT(B32,"")&amp;TEXT(" Overall Impact","")</f>
        <v xml:space="preserve"> Overall Impact</v>
      </c>
      <c r="B52" s="656"/>
      <c r="D52" s="476" t="str">
        <f>TEXT(E32,"")&amp;TEXT(" Overall Impact","")</f>
        <v xml:space="preserve"> Overall Impact</v>
      </c>
      <c r="E52" s="1082"/>
    </row>
    <row r="55" spans="1:5" ht="14.45" customHeight="1">
      <c r="A55" s="1107" t="s">
        <v>473</v>
      </c>
      <c r="B55" s="479"/>
      <c r="C55" s="479"/>
      <c r="D55" s="479"/>
      <c r="E55" s="1083"/>
    </row>
    <row r="56" spans="1:5">
      <c r="A56" s="479"/>
      <c r="B56" s="479"/>
      <c r="C56" s="479"/>
      <c r="D56" s="479"/>
      <c r="E56" s="1083"/>
    </row>
    <row r="57" spans="1:5">
      <c r="A57" s="1116" t="str">
        <f>IFERROR(IF(AND(IF(B8="","",VLOOKUP(B8,'C1-Statewide Avg Rate Level Chg'!$B$11:$E$28,4,FALSE))=B28,IF(E8="","",VLOOKUP(E8,'C1-Statewide Avg Rate Level Chg'!$B$11:$E$28,4,FALSE))=E28,IF(B32="","",VLOOKUP(B32,'C1-Statewide Avg Rate Level Chg'!$B$11:$E$28,4,FALSE))=B52,IF(E32="","",VLOOKUP(E32,'C1-Statewide Avg Rate Level Chg'!$B$11:$E$28,4,FALSE))=E52),"Match Confirmed  ","Does Not Match:  "),"Does Not Match:  ")</f>
        <v xml:space="preserve">Match Confirmed  </v>
      </c>
      <c r="B57" s="1117" t="str">
        <f>IFERROR(TEXT(IF(B8="","",IF(VLOOKUP(B8,'C1-Statewide Avg Rate Level Chg'!B11:E28,4,FALSE)='C3-Rate Change by Variable'!B28,"",B8)),"")&amp;"  "&amp;TEXT(IF(E8="","", IF(VLOOKUP(E8,'C1-Statewide Avg Rate Level Chg'!B11:E28,4,FALSE)=E28,"",E8)),"")&amp;"  "&amp;TEXT(IF(B32="","",IF(VLOOKUP('C3-Rate Change by Variable'!B32,'C1-Statewide Avg Rate Level Chg'!B11:E28,4,FALSE)='C3-Rate Change by Variable'!B52,"",B32)),"")&amp;"  "&amp;TEXT(IF(E32="","",IF(VLOOKUP(E32,'C1-Statewide Avg Rate Level Chg'!B11:E28,4,FALSE)=E52,"",E32)),""),"Error")</f>
        <v xml:space="preserve">      </v>
      </c>
    </row>
    <row r="59" spans="1:5">
      <c r="A59" s="815" t="s">
        <v>513</v>
      </c>
    </row>
    <row r="60" spans="1:5">
      <c r="A60" s="437"/>
    </row>
  </sheetData>
  <sheetProtection sheet="1" objects="1" scenarios="1"/>
  <conditionalFormatting sqref="B8">
    <cfRule type="expression" dxfId="115" priority="11">
      <formula>$B$8=""</formula>
    </cfRule>
  </conditionalFormatting>
  <conditionalFormatting sqref="A10:B27">
    <cfRule type="expression" dxfId="114" priority="10">
      <formula>$A$10=""</formula>
    </cfRule>
  </conditionalFormatting>
  <conditionalFormatting sqref="B28">
    <cfRule type="expression" dxfId="113" priority="9">
      <formula>$B$28=""</formula>
    </cfRule>
  </conditionalFormatting>
  <conditionalFormatting sqref="B10:B27 B34:B51 E10:E27 E34:E51">
    <cfRule type="expression" dxfId="112" priority="8">
      <formula>AND(NOT(A10=""),B10="")</formula>
    </cfRule>
  </conditionalFormatting>
  <conditionalFormatting sqref="A34:B51">
    <cfRule type="expression" dxfId="111" priority="4">
      <formula>AND(NOT($B$32=""),$A$34="")</formula>
    </cfRule>
  </conditionalFormatting>
  <conditionalFormatting sqref="B52">
    <cfRule type="expression" dxfId="110" priority="3">
      <formula>AND(NOT(B$32=""),B$52="")</formula>
    </cfRule>
  </conditionalFormatting>
  <conditionalFormatting sqref="D10:D27">
    <cfRule type="expression" dxfId="109" priority="15">
      <formula>AND(NOT($E$8=""),$D$10="")</formula>
    </cfRule>
  </conditionalFormatting>
  <conditionalFormatting sqref="D34:D51">
    <cfRule type="expression" dxfId="108" priority="17">
      <formula>AND(NOT($E$32=""),$D$34="")</formula>
    </cfRule>
  </conditionalFormatting>
  <conditionalFormatting sqref="E28 E52">
    <cfRule type="expression" dxfId="107" priority="1">
      <formula>AND(NOT($E8=""),$E28="")</formula>
    </cfRule>
  </conditionalFormatting>
  <printOptions horizontalCentered="1"/>
  <pageMargins left="0.5" right="0.5" top="0.5" bottom="0.5" header="0.3" footer="0.3"/>
  <pageSetup scale="81" orientation="portrait" r:id="rId1"/>
  <headerFooter>
    <oddFooter>&amp;LRevised 3/2013&amp;RPage &amp;P of &amp;N</oddFooter>
  </headerFooter>
</worksheet>
</file>

<file path=xl/worksheets/sheet7.xml><?xml version="1.0" encoding="utf-8"?>
<worksheet xmlns="http://schemas.openxmlformats.org/spreadsheetml/2006/main" xmlns:r="http://schemas.openxmlformats.org/officeDocument/2006/relationships">
  <sheetPr codeName="Sheet25">
    <pageSetUpPr fitToPage="1"/>
  </sheetPr>
  <dimension ref="A1:G46"/>
  <sheetViews>
    <sheetView showGridLines="0" workbookViewId="0">
      <pane ySplit="5" topLeftCell="A6" activePane="bottomLeft" state="frozen"/>
      <selection pane="bottomLeft"/>
    </sheetView>
  </sheetViews>
  <sheetFormatPr defaultRowHeight="15"/>
  <cols>
    <col min="1" max="1" width="2.85546875" style="605" customWidth="1"/>
    <col min="2" max="7" width="14.140625" customWidth="1"/>
    <col min="8" max="8" width="8.7109375" bestFit="1" customWidth="1"/>
  </cols>
  <sheetData>
    <row r="1" spans="2:7" ht="17.25">
      <c r="B1" s="9" t="str">
        <f>'4-Loss Development'!A1</f>
        <v>Texas Department of Insurance</v>
      </c>
      <c r="G1" s="190" t="str">
        <f xml:space="preserve"> "Home - "&amp;MID(B4,9,2)</f>
        <v xml:space="preserve">Home - D </v>
      </c>
    </row>
    <row r="2" spans="2:7" ht="17.25">
      <c r="B2" s="9" t="str">
        <f>'4-Loss Development'!A2</f>
        <v>Property and Casualty Rate Filing Exhibits</v>
      </c>
    </row>
    <row r="4" spans="2:7" ht="15.75">
      <c r="B4" s="165" t="s">
        <v>489</v>
      </c>
      <c r="C4" s="158"/>
      <c r="D4" s="166"/>
      <c r="E4" s="163"/>
      <c r="F4" s="1120" t="s">
        <v>140</v>
      </c>
      <c r="G4" s="1121" t="str">
        <f>'C3-Rate Change by Variable'!E4</f>
        <v/>
      </c>
    </row>
    <row r="5" spans="2:7">
      <c r="F5" s="1120" t="s">
        <v>787</v>
      </c>
      <c r="G5" s="1121" t="str">
        <f>IF('General Information'!$B11="","",'General Information'!$B11)</f>
        <v/>
      </c>
    </row>
    <row r="6" spans="2:7">
      <c r="B6" s="153"/>
    </row>
    <row r="8" spans="2:7">
      <c r="B8" s="1337" t="s">
        <v>115</v>
      </c>
      <c r="C8" s="1338"/>
      <c r="D8" s="1338"/>
      <c r="E8" s="1338"/>
      <c r="F8" s="1338"/>
      <c r="G8" s="1339"/>
    </row>
    <row r="9" spans="2:7" s="293" customFormat="1">
      <c r="B9" s="816"/>
      <c r="C9" s="816"/>
      <c r="D9" s="816"/>
      <c r="E9" s="816"/>
      <c r="F9" s="816"/>
      <c r="G9" s="816"/>
    </row>
    <row r="10" spans="2:7" s="129" customFormat="1">
      <c r="B10" s="137">
        <f>E5-1</f>
        <v>-1</v>
      </c>
      <c r="C10" s="138">
        <f>B10-1</f>
        <v>-2</v>
      </c>
      <c r="D10" s="138">
        <f>C10-1</f>
        <v>-3</v>
      </c>
      <c r="E10" s="138">
        <f t="shared" ref="E10:G10" si="0">D10-1</f>
        <v>-4</v>
      </c>
      <c r="F10" s="138">
        <f t="shared" si="0"/>
        <v>-5</v>
      </c>
      <c r="G10" s="138">
        <f t="shared" si="0"/>
        <v>-6</v>
      </c>
    </row>
    <row r="11" spans="2:7" s="129" customFormat="1" ht="45">
      <c r="B11" s="212" t="s">
        <v>69</v>
      </c>
      <c r="C11" s="306" t="s">
        <v>86</v>
      </c>
      <c r="D11" s="145" t="s">
        <v>87</v>
      </c>
      <c r="E11" s="145" t="s">
        <v>88</v>
      </c>
      <c r="F11" s="145" t="s">
        <v>89</v>
      </c>
      <c r="G11" s="145" t="s">
        <v>90</v>
      </c>
    </row>
    <row r="12" spans="2:7" s="129" customFormat="1">
      <c r="B12" s="1036" t="str">
        <f>IF('General Information'!B17="","20__",B13-1)</f>
        <v>20__</v>
      </c>
      <c r="C12" s="657"/>
      <c r="D12" s="658"/>
      <c r="E12" s="658"/>
      <c r="F12" s="658"/>
      <c r="G12" s="155">
        <f>IFERROR(F12/D12,0)</f>
        <v>0</v>
      </c>
    </row>
    <row r="13" spans="2:7" s="129" customFormat="1">
      <c r="B13" s="1038" t="str">
        <f>IF('General Information'!B17="","20__",B14-1)</f>
        <v>20__</v>
      </c>
      <c r="C13" s="659"/>
      <c r="D13" s="660"/>
      <c r="E13" s="660"/>
      <c r="F13" s="660"/>
      <c r="G13" s="167">
        <f t="shared" ref="G13:G16" si="1">IFERROR(F13/D13,0)</f>
        <v>0</v>
      </c>
    </row>
    <row r="14" spans="2:7" s="129" customFormat="1">
      <c r="B14" s="1036" t="str">
        <f>IF('General Information'!B17="","20__",B15-1)</f>
        <v>20__</v>
      </c>
      <c r="C14" s="657"/>
      <c r="D14" s="658"/>
      <c r="E14" s="658"/>
      <c r="F14" s="658"/>
      <c r="G14" s="155">
        <f t="shared" si="1"/>
        <v>0</v>
      </c>
    </row>
    <row r="15" spans="2:7" s="129" customFormat="1">
      <c r="B15" s="1038" t="str">
        <f>IF('General Information'!B17="","20__",B16-1)</f>
        <v>20__</v>
      </c>
      <c r="C15" s="659"/>
      <c r="D15" s="660"/>
      <c r="E15" s="660"/>
      <c r="F15" s="660"/>
      <c r="G15" s="167">
        <f t="shared" si="1"/>
        <v>0</v>
      </c>
    </row>
    <row r="16" spans="2:7" s="129" customFormat="1">
      <c r="B16" s="1037" t="str">
        <f>IF('General Information'!B17="","20__",IF(MONTH('General Information'!B17)=12,YEAR('General Information'!B17),YEAR('General Information'!B17)-1))</f>
        <v>20__</v>
      </c>
      <c r="C16" s="661"/>
      <c r="D16" s="662"/>
      <c r="E16" s="662"/>
      <c r="F16" s="662"/>
      <c r="G16" s="156">
        <f t="shared" si="1"/>
        <v>0</v>
      </c>
    </row>
    <row r="20" spans="2:7">
      <c r="B20" s="1337" t="s">
        <v>112</v>
      </c>
      <c r="C20" s="1338"/>
      <c r="D20" s="1338"/>
      <c r="E20" s="1338"/>
      <c r="F20" s="1338"/>
      <c r="G20" s="1339"/>
    </row>
    <row r="21" spans="2:7" s="293" customFormat="1">
      <c r="B21" s="817"/>
      <c r="C21" s="817"/>
      <c r="D21" s="817"/>
      <c r="E21" s="817"/>
      <c r="F21" s="817"/>
      <c r="G21" s="817"/>
    </row>
    <row r="22" spans="2:7">
      <c r="B22" s="137">
        <f>E18-1</f>
        <v>-1</v>
      </c>
      <c r="C22" s="138">
        <f>B22-1</f>
        <v>-2</v>
      </c>
      <c r="D22" s="138">
        <f>C22-1</f>
        <v>-3</v>
      </c>
      <c r="E22" s="138">
        <f t="shared" ref="E22" si="2">D22-1</f>
        <v>-4</v>
      </c>
      <c r="F22" s="138">
        <f t="shared" ref="F22" si="3">E22-1</f>
        <v>-5</v>
      </c>
      <c r="G22" s="138">
        <f t="shared" ref="G22" si="4">F22-1</f>
        <v>-6</v>
      </c>
    </row>
    <row r="23" spans="2:7" ht="45">
      <c r="B23" s="212" t="s">
        <v>69</v>
      </c>
      <c r="C23" s="306" t="s">
        <v>86</v>
      </c>
      <c r="D23" s="145" t="s">
        <v>87</v>
      </c>
      <c r="E23" s="145" t="s">
        <v>88</v>
      </c>
      <c r="F23" s="145" t="s">
        <v>89</v>
      </c>
      <c r="G23" s="145" t="s">
        <v>90</v>
      </c>
    </row>
    <row r="24" spans="2:7">
      <c r="B24" s="1036" t="str">
        <f>B12</f>
        <v>20__</v>
      </c>
      <c r="C24" s="657"/>
      <c r="D24" s="658"/>
      <c r="E24" s="658"/>
      <c r="F24" s="658"/>
      <c r="G24" s="960">
        <f>IFERROR(F24/D24,0)</f>
        <v>0</v>
      </c>
    </row>
    <row r="25" spans="2:7">
      <c r="B25" s="1038" t="str">
        <f t="shared" ref="B25:B28" si="5">B13</f>
        <v>20__</v>
      </c>
      <c r="C25" s="659"/>
      <c r="D25" s="660"/>
      <c r="E25" s="660"/>
      <c r="F25" s="660"/>
      <c r="G25" s="167">
        <f t="shared" ref="G25:G28" si="6">IFERROR(F25/D25,0)</f>
        <v>0</v>
      </c>
    </row>
    <row r="26" spans="2:7">
      <c r="B26" s="1036" t="str">
        <f t="shared" si="5"/>
        <v>20__</v>
      </c>
      <c r="C26" s="657"/>
      <c r="D26" s="658"/>
      <c r="E26" s="658"/>
      <c r="F26" s="658"/>
      <c r="G26" s="155">
        <f t="shared" si="6"/>
        <v>0</v>
      </c>
    </row>
    <row r="27" spans="2:7">
      <c r="B27" s="1038" t="str">
        <f t="shared" si="5"/>
        <v>20__</v>
      </c>
      <c r="C27" s="659"/>
      <c r="D27" s="660"/>
      <c r="E27" s="660"/>
      <c r="F27" s="660"/>
      <c r="G27" s="167">
        <f t="shared" si="6"/>
        <v>0</v>
      </c>
    </row>
    <row r="28" spans="2:7">
      <c r="B28" s="1037" t="str">
        <f t="shared" si="5"/>
        <v>20__</v>
      </c>
      <c r="C28" s="661"/>
      <c r="D28" s="662"/>
      <c r="E28" s="662"/>
      <c r="F28" s="662"/>
      <c r="G28" s="961">
        <f t="shared" si="6"/>
        <v>0</v>
      </c>
    </row>
    <row r="29" spans="2:7" s="605" customFormat="1">
      <c r="B29" s="606"/>
      <c r="C29" s="607"/>
      <c r="D29" s="607"/>
      <c r="E29" s="607"/>
      <c r="F29" s="607"/>
      <c r="G29" s="608"/>
    </row>
    <row r="30" spans="2:7" s="605" customFormat="1">
      <c r="B30" s="606"/>
      <c r="C30" s="607"/>
      <c r="D30" s="607"/>
      <c r="E30" s="607"/>
      <c r="F30" s="607"/>
      <c r="G30" s="608"/>
    </row>
    <row r="31" spans="2:7" s="605" customFormat="1"/>
    <row r="32" spans="2:7" s="605" customFormat="1"/>
    <row r="33" spans="1:7" s="605" customFormat="1">
      <c r="B33" s="1340" t="s">
        <v>622</v>
      </c>
      <c r="C33" s="1340"/>
      <c r="D33" s="1340"/>
      <c r="E33" s="1340"/>
      <c r="F33" s="1340"/>
      <c r="G33" s="1340"/>
    </row>
    <row r="34" spans="1:7" s="605" customFormat="1">
      <c r="B34" s="1340"/>
      <c r="C34" s="1340"/>
      <c r="D34" s="1340"/>
      <c r="E34" s="1340"/>
      <c r="F34" s="1340"/>
      <c r="G34" s="1340"/>
    </row>
    <row r="35" spans="1:7" s="605" customFormat="1">
      <c r="B35" s="606"/>
      <c r="C35" s="607"/>
      <c r="D35" s="607"/>
      <c r="E35" s="607"/>
      <c r="F35" s="607"/>
      <c r="G35" s="608"/>
    </row>
    <row r="38" spans="1:7" s="204" customFormat="1" ht="12" customHeight="1">
      <c r="A38" s="447" t="s">
        <v>515</v>
      </c>
    </row>
    <row r="39" spans="1:7" s="204" customFormat="1" ht="12" customHeight="1">
      <c r="A39" s="448">
        <f>B10</f>
        <v>-1</v>
      </c>
      <c r="B39" s="204" t="s">
        <v>690</v>
      </c>
    </row>
    <row r="40" spans="1:7" s="204" customFormat="1" ht="12" customHeight="1">
      <c r="A40" s="448">
        <f>A39-1</f>
        <v>-2</v>
      </c>
      <c r="B40" s="205" t="s">
        <v>145</v>
      </c>
    </row>
    <row r="41" spans="1:7" s="204" customFormat="1" ht="12" customHeight="1">
      <c r="A41" s="448">
        <f t="shared" ref="A41:A44" si="7">A40-1</f>
        <v>-3</v>
      </c>
      <c r="B41" s="205" t="s">
        <v>145</v>
      </c>
    </row>
    <row r="42" spans="1:7" s="204" customFormat="1" ht="12" customHeight="1">
      <c r="A42" s="448">
        <f t="shared" si="7"/>
        <v>-4</v>
      </c>
      <c r="B42" s="205" t="s">
        <v>145</v>
      </c>
    </row>
    <row r="43" spans="1:7" s="204" customFormat="1" ht="12" customHeight="1">
      <c r="A43" s="448">
        <f t="shared" si="7"/>
        <v>-5</v>
      </c>
      <c r="B43" s="205" t="s">
        <v>145</v>
      </c>
    </row>
    <row r="44" spans="1:7" s="204" customFormat="1" ht="12" customHeight="1">
      <c r="A44" s="448">
        <f t="shared" si="7"/>
        <v>-6</v>
      </c>
      <c r="B44" s="449" t="s">
        <v>746</v>
      </c>
    </row>
    <row r="45" spans="1:7">
      <c r="A45" s="157"/>
      <c r="B45" s="605"/>
      <c r="D45" s="605"/>
      <c r="E45" s="605"/>
    </row>
    <row r="46" spans="1:7">
      <c r="A46" s="157"/>
      <c r="B46" s="605"/>
      <c r="D46" s="605"/>
      <c r="E46" s="605"/>
    </row>
  </sheetData>
  <sheetProtection sheet="1" objects="1" scenarios="1"/>
  <mergeCells count="3">
    <mergeCell ref="B20:G20"/>
    <mergeCell ref="B8:G8"/>
    <mergeCell ref="B33:G34"/>
  </mergeCells>
  <conditionalFormatting sqref="C12:F16">
    <cfRule type="expression" dxfId="106" priority="2">
      <formula>C12=""</formula>
    </cfRule>
  </conditionalFormatting>
  <conditionalFormatting sqref="C24:F28">
    <cfRule type="expression" dxfId="105" priority="1">
      <formula>C24=""</formula>
    </cfRule>
  </conditionalFormatting>
  <printOptions horizontalCentered="1"/>
  <pageMargins left="0.5" right="0.5" top="0.5" bottom="0.5" header="0.3" footer="0.3"/>
  <pageSetup orientation="portrait" r:id="rId1"/>
  <headerFooter>
    <oddFooter>&amp;LRevised 3/2013&amp;RPage &amp;P of &amp;N</oddFooter>
  </headerFooter>
  <ignoredErrors>
    <ignoredError sqref="B24:B28 B12:B14" unlockedFormula="1"/>
  </ignoredErrors>
</worksheet>
</file>

<file path=xl/worksheets/sheet8.xml><?xml version="1.0" encoding="utf-8"?>
<worksheet xmlns="http://schemas.openxmlformats.org/spreadsheetml/2006/main" xmlns:r="http://schemas.openxmlformats.org/officeDocument/2006/relationships">
  <sheetPr codeName="Sheet14"/>
  <dimension ref="A1:J73"/>
  <sheetViews>
    <sheetView showGridLines="0" zoomScale="85" zoomScaleNormal="85" workbookViewId="0">
      <pane ySplit="9" topLeftCell="A10" activePane="bottomLeft" state="frozen"/>
      <selection pane="bottomLeft"/>
    </sheetView>
  </sheetViews>
  <sheetFormatPr defaultRowHeight="15"/>
  <cols>
    <col min="1" max="1" width="4.28515625" customWidth="1"/>
    <col min="2" max="2" width="4.28515625" bestFit="1" customWidth="1"/>
    <col min="3" max="3" width="2.5703125" bestFit="1" customWidth="1"/>
    <col min="4" max="4" width="40.85546875" bestFit="1" customWidth="1"/>
    <col min="5" max="7" width="14.140625" customWidth="1"/>
    <col min="10" max="11" width="8.85546875" customWidth="1"/>
  </cols>
  <sheetData>
    <row r="1" spans="1:7" ht="17.25">
      <c r="A1" s="206" t="str">
        <f>'10-Fixed &amp; Variable Expenses'!A1</f>
        <v>Texas Department of Insurance</v>
      </c>
      <c r="C1" s="206"/>
      <c r="G1" s="190" t="str">
        <f xml:space="preserve"> "Home - "&amp;MID(A4,9,1)</f>
        <v>Home - E</v>
      </c>
    </row>
    <row r="2" spans="1:7" ht="17.25">
      <c r="A2" s="206" t="str">
        <f>'10-Fixed &amp; Variable Expenses'!A2</f>
        <v>Property and Casualty Rate Filing Exhibits</v>
      </c>
      <c r="C2" s="206"/>
    </row>
    <row r="3" spans="1:7">
      <c r="A3" s="226"/>
      <c r="C3" s="226"/>
    </row>
    <row r="4" spans="1:7" ht="15.75">
      <c r="A4" s="188" t="s">
        <v>514</v>
      </c>
      <c r="B4" s="158"/>
      <c r="C4" s="294"/>
      <c r="D4" s="166"/>
      <c r="E4" s="195"/>
      <c r="F4" s="1125" t="s">
        <v>140</v>
      </c>
      <c r="G4" s="1126" t="str">
        <f>'D-Historical Experience'!G4</f>
        <v/>
      </c>
    </row>
    <row r="5" spans="1:7">
      <c r="F5" s="1125" t="s">
        <v>787</v>
      </c>
      <c r="G5" s="1126" t="str">
        <f>IF('General Information'!$B11="","",'General Information'!$B11)</f>
        <v/>
      </c>
    </row>
    <row r="6" spans="1:7" s="609" customFormat="1">
      <c r="F6" s="330"/>
      <c r="G6" s="332"/>
    </row>
    <row r="8" spans="1:7">
      <c r="E8" s="1319" t="s">
        <v>69</v>
      </c>
      <c r="F8" s="1341"/>
      <c r="G8" s="1341"/>
    </row>
    <row r="9" spans="1:7" s="152" customFormat="1">
      <c r="B9" s="289"/>
      <c r="C9" s="289"/>
      <c r="E9" s="1032" t="str">
        <f>'D-Historical Experience'!B14</f>
        <v>20__</v>
      </c>
      <c r="F9" s="1033" t="str">
        <f>'D-Historical Experience'!B15</f>
        <v>20__</v>
      </c>
      <c r="G9" s="1033" t="str">
        <f>'D-Historical Experience'!B16</f>
        <v>20__</v>
      </c>
    </row>
    <row r="10" spans="1:7" s="152" customFormat="1">
      <c r="A10" s="1342" t="s">
        <v>115</v>
      </c>
      <c r="B10" s="1343"/>
      <c r="C10" s="1343"/>
      <c r="D10" s="1343"/>
      <c r="E10" s="532"/>
      <c r="F10" s="532"/>
      <c r="G10" s="533"/>
    </row>
    <row r="11" spans="1:7" s="288" customFormat="1">
      <c r="B11" s="303">
        <v>-1</v>
      </c>
      <c r="C11" s="1346" t="s">
        <v>86</v>
      </c>
      <c r="D11" s="1347"/>
      <c r="E11" s="307">
        <f>'D-Historical Experience'!C14</f>
        <v>0</v>
      </c>
      <c r="F11" s="308">
        <f>'D-Historical Experience'!C15</f>
        <v>0</v>
      </c>
      <c r="G11" s="309">
        <f>'D-Historical Experience'!C16</f>
        <v>0</v>
      </c>
    </row>
    <row r="12" spans="1:7" s="288" customFormat="1">
      <c r="B12" s="298">
        <f>B11-1</f>
        <v>-2</v>
      </c>
      <c r="C12" s="1344" t="s">
        <v>87</v>
      </c>
      <c r="D12" s="1345"/>
      <c r="E12" s="295">
        <f>'D-Historical Experience'!D14</f>
        <v>0</v>
      </c>
      <c r="F12" s="296">
        <f>'D-Historical Experience'!D15</f>
        <v>0</v>
      </c>
      <c r="G12" s="297">
        <f>'D-Historical Experience'!D16</f>
        <v>0</v>
      </c>
    </row>
    <row r="13" spans="1:7" s="288" customFormat="1">
      <c r="B13" s="298">
        <f t="shared" ref="B13:B14" si="0">B12-1</f>
        <v>-3</v>
      </c>
      <c r="C13" s="1344" t="s">
        <v>113</v>
      </c>
      <c r="D13" s="1345"/>
      <c r="E13" s="663"/>
      <c r="F13" s="664"/>
      <c r="G13" s="665"/>
    </row>
    <row r="14" spans="1:7" s="288" customFormat="1">
      <c r="B14" s="305">
        <f t="shared" si="0"/>
        <v>-4</v>
      </c>
      <c r="C14" s="1350" t="s">
        <v>114</v>
      </c>
      <c r="D14" s="1351"/>
      <c r="E14" s="666"/>
      <c r="F14" s="667"/>
      <c r="G14" s="668"/>
    </row>
    <row r="15" spans="1:7" s="288" customFormat="1">
      <c r="B15" s="303">
        <f>B14-1</f>
        <v>-5</v>
      </c>
      <c r="C15" s="1356" t="str">
        <f>IF('General Information'!B15='General Information'!G17,"Direct Losses Incurred","Direct Losses &amp; DCCE Incurred")</f>
        <v>Direct Losses &amp; DCCE Incurred</v>
      </c>
      <c r="D15" s="1357"/>
      <c r="E15" s="669"/>
      <c r="F15" s="670"/>
      <c r="G15" s="671"/>
    </row>
    <row r="16" spans="1:7" s="288" customFormat="1">
      <c r="B16" s="305">
        <f>B15-1</f>
        <v>-6</v>
      </c>
      <c r="C16" s="434" t="str">
        <f>IF('General Information'!B15='General Information'!G17,"DCCE Incurred","Not Applicable - Disregard")</f>
        <v>Not Applicable - Disregard</v>
      </c>
      <c r="D16" s="258"/>
      <c r="E16" s="666"/>
      <c r="F16" s="667"/>
      <c r="G16" s="668"/>
    </row>
    <row r="17" spans="1:10" s="288" customFormat="1">
      <c r="A17" s="1342" t="s">
        <v>112</v>
      </c>
      <c r="B17" s="1343"/>
      <c r="C17" s="1343"/>
      <c r="D17" s="1343"/>
      <c r="E17" s="534"/>
      <c r="F17" s="534"/>
      <c r="G17" s="535"/>
    </row>
    <row r="18" spans="1:10" s="288" customFormat="1">
      <c r="B18" s="303">
        <f>B16-1</f>
        <v>-7</v>
      </c>
      <c r="C18" s="1348" t="s">
        <v>86</v>
      </c>
      <c r="D18" s="1349"/>
      <c r="E18" s="311">
        <f>'D-Historical Experience'!C26</f>
        <v>0</v>
      </c>
      <c r="F18" s="312">
        <f>'D-Historical Experience'!C27</f>
        <v>0</v>
      </c>
      <c r="G18" s="313">
        <f>'D-Historical Experience'!C28</f>
        <v>0</v>
      </c>
    </row>
    <row r="19" spans="1:10" s="288" customFormat="1">
      <c r="B19" s="298">
        <f>B18-1</f>
        <v>-8</v>
      </c>
      <c r="C19" s="1344" t="s">
        <v>87</v>
      </c>
      <c r="D19" s="1345"/>
      <c r="E19" s="314">
        <f>'D-Historical Experience'!D26</f>
        <v>0</v>
      </c>
      <c r="F19" s="315">
        <f>'D-Historical Experience'!D27</f>
        <v>0</v>
      </c>
      <c r="G19" s="316">
        <f>'D-Historical Experience'!D28</f>
        <v>0</v>
      </c>
      <c r="H19" s="291"/>
      <c r="I19" s="291"/>
      <c r="J19" s="291"/>
    </row>
    <row r="20" spans="1:10" s="288" customFormat="1">
      <c r="B20" s="298">
        <f t="shared" ref="B20:B21" si="1">B19-1</f>
        <v>-9</v>
      </c>
      <c r="C20" s="1344" t="s">
        <v>113</v>
      </c>
      <c r="D20" s="1345"/>
      <c r="E20" s="663"/>
      <c r="F20" s="664"/>
      <c r="G20" s="665"/>
      <c r="H20" s="291"/>
      <c r="I20" s="291"/>
      <c r="J20" s="291"/>
    </row>
    <row r="21" spans="1:10" s="288" customFormat="1">
      <c r="B21" s="298">
        <f t="shared" si="1"/>
        <v>-10</v>
      </c>
      <c r="C21" s="1358" t="s">
        <v>116</v>
      </c>
      <c r="D21" s="1359"/>
      <c r="E21" s="672"/>
      <c r="F21" s="673"/>
      <c r="G21" s="674"/>
      <c r="H21" s="291"/>
      <c r="I21" s="291"/>
      <c r="J21" s="291"/>
    </row>
    <row r="22" spans="1:10" s="288" customFormat="1">
      <c r="B22" s="298"/>
      <c r="C22" s="299" t="s">
        <v>117</v>
      </c>
      <c r="D22" s="300" t="s">
        <v>125</v>
      </c>
      <c r="E22" s="663"/>
      <c r="F22" s="664"/>
      <c r="G22" s="674"/>
      <c r="H22" s="291"/>
      <c r="I22" s="291"/>
      <c r="J22" s="291"/>
    </row>
    <row r="23" spans="1:10" s="288" customFormat="1">
      <c r="B23" s="298"/>
      <c r="C23" s="299" t="s">
        <v>118</v>
      </c>
      <c r="D23" s="300" t="s">
        <v>126</v>
      </c>
      <c r="E23" s="295">
        <f>E21-E22</f>
        <v>0</v>
      </c>
      <c r="F23" s="296">
        <f t="shared" ref="F23:G23" si="2">F21-F22</f>
        <v>0</v>
      </c>
      <c r="G23" s="297">
        <f t="shared" si="2"/>
        <v>0</v>
      </c>
      <c r="H23" s="291"/>
      <c r="I23" s="291"/>
      <c r="J23" s="291"/>
    </row>
    <row r="24" spans="1:10" s="288" customFormat="1">
      <c r="B24" s="298">
        <f>B21-1</f>
        <v>-11</v>
      </c>
      <c r="C24" s="1352" t="s">
        <v>127</v>
      </c>
      <c r="D24" s="1353"/>
      <c r="E24" s="663"/>
      <c r="F24" s="675"/>
      <c r="G24" s="674"/>
      <c r="H24" s="291"/>
      <c r="I24" s="291"/>
      <c r="J24" s="291"/>
    </row>
    <row r="25" spans="1:10" s="288" customFormat="1">
      <c r="B25" s="298"/>
      <c r="C25" s="304" t="s">
        <v>117</v>
      </c>
      <c r="D25" s="321" t="s">
        <v>128</v>
      </c>
      <c r="E25" s="663"/>
      <c r="F25" s="675"/>
      <c r="G25" s="674"/>
      <c r="H25" s="291"/>
      <c r="I25" s="291"/>
      <c r="J25" s="291"/>
    </row>
    <row r="26" spans="1:10" s="288" customFormat="1">
      <c r="B26" s="298"/>
      <c r="C26" s="304" t="s">
        <v>118</v>
      </c>
      <c r="D26" s="321" t="s">
        <v>129</v>
      </c>
      <c r="E26" s="663"/>
      <c r="F26" s="675"/>
      <c r="G26" s="674"/>
      <c r="H26" s="291"/>
      <c r="I26" s="291"/>
      <c r="J26" s="291"/>
    </row>
    <row r="27" spans="1:10" s="152" customFormat="1" ht="43.9" customHeight="1">
      <c r="B27" s="298"/>
      <c r="C27" s="304" t="s">
        <v>119</v>
      </c>
      <c r="D27" s="322" t="s">
        <v>130</v>
      </c>
      <c r="E27" s="676"/>
      <c r="F27" s="675"/>
      <c r="G27" s="674"/>
      <c r="H27" s="292"/>
      <c r="I27" s="292"/>
      <c r="J27" s="292"/>
    </row>
    <row r="28" spans="1:10" ht="29.45" customHeight="1">
      <c r="B28" s="301"/>
      <c r="C28" s="304" t="s">
        <v>120</v>
      </c>
      <c r="D28" s="323" t="s">
        <v>131</v>
      </c>
      <c r="E28" s="677"/>
      <c r="F28" s="675"/>
      <c r="G28" s="674"/>
      <c r="H28" s="293"/>
      <c r="I28" s="293"/>
      <c r="J28" s="293"/>
    </row>
    <row r="29" spans="1:10" ht="29.45" customHeight="1">
      <c r="B29" s="301"/>
      <c r="C29" s="304" t="s">
        <v>121</v>
      </c>
      <c r="D29" s="324" t="s">
        <v>132</v>
      </c>
      <c r="E29" s="678"/>
      <c r="F29" s="675"/>
      <c r="G29" s="674"/>
      <c r="H29" s="293"/>
    </row>
    <row r="30" spans="1:10" ht="28.9" customHeight="1">
      <c r="B30" s="301"/>
      <c r="C30" s="304" t="s">
        <v>122</v>
      </c>
      <c r="D30" s="324" t="s">
        <v>747</v>
      </c>
      <c r="E30" s="678"/>
      <c r="F30" s="675"/>
      <c r="G30" s="674"/>
      <c r="H30" s="293"/>
    </row>
    <row r="31" spans="1:10" ht="30">
      <c r="B31" s="301"/>
      <c r="C31" s="304" t="s">
        <v>123</v>
      </c>
      <c r="D31" s="324" t="s">
        <v>133</v>
      </c>
      <c r="E31" s="678"/>
      <c r="F31" s="675"/>
      <c r="G31" s="674"/>
      <c r="H31" s="293"/>
    </row>
    <row r="32" spans="1:10">
      <c r="B32" s="301"/>
      <c r="C32" s="304" t="s">
        <v>124</v>
      </c>
      <c r="D32" s="325" t="s">
        <v>134</v>
      </c>
      <c r="E32" s="317">
        <f>SUM(E26:E31)</f>
        <v>0</v>
      </c>
      <c r="F32" s="318">
        <f>SUM(F26:F31)</f>
        <v>0</v>
      </c>
      <c r="G32" s="319">
        <f>SUM(G26:G31)</f>
        <v>0</v>
      </c>
      <c r="H32" s="293"/>
    </row>
    <row r="33" spans="1:8">
      <c r="B33" s="301"/>
      <c r="C33" s="304" t="s">
        <v>135</v>
      </c>
      <c r="D33" s="325" t="s">
        <v>478</v>
      </c>
      <c r="E33" s="317">
        <f>E24-E25-E32</f>
        <v>0</v>
      </c>
      <c r="F33" s="318">
        <f t="shared" ref="F33:G33" si="3">F24-F25-F32</f>
        <v>0</v>
      </c>
      <c r="G33" s="319">
        <f t="shared" si="3"/>
        <v>0</v>
      </c>
      <c r="H33" s="293"/>
    </row>
    <row r="34" spans="1:8">
      <c r="B34" s="455"/>
      <c r="C34" s="456" t="s">
        <v>476</v>
      </c>
      <c r="D34" s="457" t="s">
        <v>477</v>
      </c>
      <c r="E34" s="320">
        <f>MIN('10-Fixed &amp; Variable Expenses'!D15*'10-Fixed &amp; Variable Expenses'!D13,E33)+E25</f>
        <v>0</v>
      </c>
      <c r="F34" s="458">
        <f>MIN('10-Fixed &amp; Variable Expenses'!E15*'10-Fixed &amp; Variable Expenses'!E13,F33)+F25</f>
        <v>0</v>
      </c>
      <c r="G34" s="459">
        <f>MIN('10-Fixed &amp; Variable Expenses'!F15*'10-Fixed &amp; Variable Expenses'!F13,G33)+G25</f>
        <v>0</v>
      </c>
      <c r="H34" s="293"/>
    </row>
    <row r="35" spans="1:8">
      <c r="B35" s="454">
        <f>B24-1</f>
        <v>-12</v>
      </c>
      <c r="C35" s="1356" t="str">
        <f>C15</f>
        <v>Direct Losses &amp; DCCE Incurred</v>
      </c>
      <c r="D35" s="1357"/>
      <c r="E35" s="679"/>
      <c r="F35" s="680"/>
      <c r="G35" s="681"/>
      <c r="H35" s="293"/>
    </row>
    <row r="36" spans="1:8">
      <c r="B36" s="433">
        <f>B35-1</f>
        <v>-13</v>
      </c>
      <c r="C36" s="434" t="str">
        <f>C16</f>
        <v>Not Applicable - Disregard</v>
      </c>
      <c r="D36" s="258"/>
      <c r="E36" s="682"/>
      <c r="F36" s="683"/>
      <c r="G36" s="684"/>
      <c r="H36" s="293"/>
    </row>
    <row r="37" spans="1:8">
      <c r="B37" s="302">
        <f>B36-1</f>
        <v>-14</v>
      </c>
      <c r="C37" s="1354" t="s">
        <v>623</v>
      </c>
      <c r="D37" s="1355"/>
      <c r="E37" s="685"/>
      <c r="F37" s="686"/>
      <c r="G37" s="687"/>
      <c r="H37" s="293"/>
    </row>
    <row r="38" spans="1:8" s="609" customFormat="1">
      <c r="B38" s="818"/>
      <c r="C38" s="819"/>
      <c r="D38" s="819"/>
      <c r="E38" s="820"/>
      <c r="F38" s="821"/>
      <c r="G38" s="821"/>
      <c r="H38" s="293"/>
    </row>
    <row r="39" spans="1:8" s="609" customFormat="1">
      <c r="B39" s="818"/>
      <c r="C39" s="819"/>
      <c r="D39" s="819"/>
      <c r="E39" s="820"/>
      <c r="F39" s="821"/>
      <c r="G39" s="821"/>
      <c r="H39" s="293"/>
    </row>
    <row r="40" spans="1:8" s="609" customFormat="1" ht="14.45" customHeight="1">
      <c r="B40" s="1340" t="s">
        <v>624</v>
      </c>
      <c r="C40" s="1340"/>
      <c r="D40" s="1340"/>
      <c r="E40" s="1340"/>
      <c r="F40" s="1340"/>
      <c r="G40" s="1340"/>
      <c r="H40" s="293"/>
    </row>
    <row r="41" spans="1:8" s="609" customFormat="1">
      <c r="B41" s="1340"/>
      <c r="C41" s="1340"/>
      <c r="D41" s="1340"/>
      <c r="E41" s="1340"/>
      <c r="F41" s="1340"/>
      <c r="G41" s="1340"/>
      <c r="H41" s="293"/>
    </row>
    <row r="42" spans="1:8" s="609" customFormat="1">
      <c r="B42" s="1340"/>
      <c r="C42" s="1340"/>
      <c r="D42" s="1340"/>
      <c r="E42" s="1340"/>
      <c r="F42" s="1340"/>
      <c r="G42" s="1340"/>
      <c r="H42" s="293"/>
    </row>
    <row r="43" spans="1:8" s="609" customFormat="1">
      <c r="B43" s="1340"/>
      <c r="C43" s="1340"/>
      <c r="D43" s="1340"/>
      <c r="E43" s="1340"/>
      <c r="F43" s="1340"/>
      <c r="G43" s="1340"/>
      <c r="H43" s="293"/>
    </row>
    <row r="44" spans="1:8" s="609" customFormat="1">
      <c r="B44" s="818"/>
      <c r="C44" s="819"/>
      <c r="D44" s="819"/>
      <c r="E44" s="820"/>
      <c r="F44" s="821"/>
      <c r="G44" s="821"/>
      <c r="H44" s="293"/>
    </row>
    <row r="45" spans="1:8">
      <c r="F45" s="293"/>
      <c r="G45" s="293"/>
      <c r="H45" s="293"/>
    </row>
    <row r="46" spans="1:8">
      <c r="F46" s="293"/>
      <c r="G46" s="293"/>
      <c r="H46" s="293"/>
    </row>
    <row r="47" spans="1:8">
      <c r="A47" s="447" t="s">
        <v>516</v>
      </c>
      <c r="B47" s="204"/>
      <c r="C47" s="204"/>
    </row>
    <row r="48" spans="1:8">
      <c r="A48" s="472">
        <f>B11</f>
        <v>-1</v>
      </c>
      <c r="B48" s="204" t="s">
        <v>445</v>
      </c>
      <c r="C48" s="204"/>
    </row>
    <row r="49" spans="1:3">
      <c r="A49" s="472">
        <f>A48-1</f>
        <v>-2</v>
      </c>
      <c r="B49" s="204" t="s">
        <v>445</v>
      </c>
      <c r="C49" s="204"/>
    </row>
    <row r="50" spans="1:3">
      <c r="A50" s="472">
        <f t="shared" ref="A50:A57" si="4">A49-1</f>
        <v>-3</v>
      </c>
      <c r="B50" s="205" t="s">
        <v>145</v>
      </c>
      <c r="C50" s="204"/>
    </row>
    <row r="51" spans="1:3">
      <c r="A51" s="472">
        <f t="shared" si="4"/>
        <v>-4</v>
      </c>
      <c r="B51" s="205" t="s">
        <v>145</v>
      </c>
      <c r="C51" s="204"/>
    </row>
    <row r="52" spans="1:3">
      <c r="A52" s="472">
        <f t="shared" si="4"/>
        <v>-5</v>
      </c>
      <c r="B52" s="205" t="s">
        <v>145</v>
      </c>
      <c r="C52" s="204"/>
    </row>
    <row r="53" spans="1:3">
      <c r="A53" s="472">
        <f t="shared" si="4"/>
        <v>-6</v>
      </c>
      <c r="B53" s="205" t="str">
        <f>IF('General Information'!B15='General Information'!G17,"Company-provided","N/A - Disregard")</f>
        <v>N/A - Disregard</v>
      </c>
      <c r="C53" s="204"/>
    </row>
    <row r="54" spans="1:3">
      <c r="A54" s="472">
        <f t="shared" si="4"/>
        <v>-7</v>
      </c>
      <c r="B54" s="204" t="s">
        <v>445</v>
      </c>
      <c r="C54" s="204"/>
    </row>
    <row r="55" spans="1:3">
      <c r="A55" s="472">
        <f t="shared" si="4"/>
        <v>-8</v>
      </c>
      <c r="B55" s="204" t="s">
        <v>445</v>
      </c>
      <c r="C55" s="204"/>
    </row>
    <row r="56" spans="1:3">
      <c r="A56" s="472">
        <f t="shared" si="4"/>
        <v>-9</v>
      </c>
      <c r="B56" s="205" t="s">
        <v>145</v>
      </c>
      <c r="C56" s="204"/>
    </row>
    <row r="57" spans="1:3">
      <c r="A57" s="472">
        <f t="shared" si="4"/>
        <v>-10</v>
      </c>
      <c r="B57" s="205" t="s">
        <v>145</v>
      </c>
      <c r="C57" s="204"/>
    </row>
    <row r="58" spans="1:3" s="609" customFormat="1">
      <c r="A58" s="472" t="s">
        <v>602</v>
      </c>
      <c r="B58" s="205" t="s">
        <v>145</v>
      </c>
      <c r="C58" s="204"/>
    </row>
    <row r="59" spans="1:3">
      <c r="A59" s="472" t="s">
        <v>603</v>
      </c>
      <c r="B59" s="449" t="s">
        <v>748</v>
      </c>
      <c r="C59" s="204"/>
    </row>
    <row r="60" spans="1:3">
      <c r="A60" s="472">
        <f>A57-1</f>
        <v>-11</v>
      </c>
      <c r="B60" s="205" t="s">
        <v>145</v>
      </c>
      <c r="C60" s="204"/>
    </row>
    <row r="61" spans="1:3">
      <c r="A61" s="472" t="s">
        <v>604</v>
      </c>
      <c r="B61" s="205" t="s">
        <v>145</v>
      </c>
      <c r="C61" s="204"/>
    </row>
    <row r="62" spans="1:3">
      <c r="A62" s="472" t="s">
        <v>605</v>
      </c>
      <c r="B62" s="205" t="s">
        <v>145</v>
      </c>
      <c r="C62" s="204"/>
    </row>
    <row r="63" spans="1:3">
      <c r="A63" s="472" t="s">
        <v>606</v>
      </c>
      <c r="B63" s="205" t="s">
        <v>145</v>
      </c>
      <c r="C63" s="204"/>
    </row>
    <row r="64" spans="1:3">
      <c r="A64" s="472" t="s">
        <v>607</v>
      </c>
      <c r="B64" s="205" t="s">
        <v>145</v>
      </c>
      <c r="C64" s="204"/>
    </row>
    <row r="65" spans="1:3">
      <c r="A65" s="472" t="s">
        <v>608</v>
      </c>
      <c r="B65" s="205" t="s">
        <v>145</v>
      </c>
      <c r="C65" s="204"/>
    </row>
    <row r="66" spans="1:3">
      <c r="A66" s="472" t="s">
        <v>609</v>
      </c>
      <c r="B66" s="205" t="s">
        <v>145</v>
      </c>
      <c r="C66" s="204"/>
    </row>
    <row r="67" spans="1:3">
      <c r="A67" s="472" t="s">
        <v>610</v>
      </c>
      <c r="B67" s="205" t="s">
        <v>145</v>
      </c>
      <c r="C67" s="204"/>
    </row>
    <row r="68" spans="1:3">
      <c r="A68" s="472" t="s">
        <v>611</v>
      </c>
      <c r="B68" s="449" t="s">
        <v>749</v>
      </c>
      <c r="C68" s="204"/>
    </row>
    <row r="69" spans="1:3">
      <c r="A69" s="472" t="s">
        <v>612</v>
      </c>
      <c r="B69" s="449" t="s">
        <v>750</v>
      </c>
      <c r="C69" s="204"/>
    </row>
    <row r="70" spans="1:3">
      <c r="A70" s="472" t="s">
        <v>613</v>
      </c>
      <c r="B70" s="449" t="s">
        <v>751</v>
      </c>
      <c r="C70" s="204"/>
    </row>
    <row r="71" spans="1:3">
      <c r="A71" s="472">
        <f>A60-1</f>
        <v>-12</v>
      </c>
      <c r="B71" s="205" t="s">
        <v>145</v>
      </c>
      <c r="C71" s="204"/>
    </row>
    <row r="72" spans="1:3">
      <c r="A72" s="472">
        <f>A71-1</f>
        <v>-13</v>
      </c>
      <c r="B72" s="205" t="str">
        <f>B53</f>
        <v>N/A - Disregard</v>
      </c>
      <c r="C72" s="204"/>
    </row>
    <row r="73" spans="1:3">
      <c r="A73" s="472">
        <f>A72-1</f>
        <v>-14</v>
      </c>
      <c r="B73" s="205" t="s">
        <v>145</v>
      </c>
      <c r="C73" s="204"/>
    </row>
  </sheetData>
  <sheetProtection sheet="1" objects="1" scenarios="1"/>
  <mergeCells count="16">
    <mergeCell ref="B40:G43"/>
    <mergeCell ref="C19:D19"/>
    <mergeCell ref="C18:D18"/>
    <mergeCell ref="C14:D14"/>
    <mergeCell ref="C24:D24"/>
    <mergeCell ref="C37:D37"/>
    <mergeCell ref="C35:D35"/>
    <mergeCell ref="C21:D21"/>
    <mergeCell ref="C20:D20"/>
    <mergeCell ref="C15:D15"/>
    <mergeCell ref="E8:G8"/>
    <mergeCell ref="A10:D10"/>
    <mergeCell ref="A17:D17"/>
    <mergeCell ref="C13:D13"/>
    <mergeCell ref="C12:D12"/>
    <mergeCell ref="C11:D11"/>
  </mergeCells>
  <conditionalFormatting sqref="E16:G16 E36:G36">
    <cfRule type="expression" dxfId="104" priority="1">
      <formula>$C$16="Not Applicable - Disregard"</formula>
    </cfRule>
  </conditionalFormatting>
  <conditionalFormatting sqref="E13:G16 E20:G22 E24:G31 E35:G37">
    <cfRule type="expression" dxfId="103" priority="3">
      <formula>E13=""</formula>
    </cfRule>
  </conditionalFormatting>
  <printOptions horizontalCentered="1"/>
  <pageMargins left="0.4" right="0.5" top="0.5" bottom="0.5" header="0.3" footer="0.3"/>
  <pageSetup scale="98" orientation="portrait" r:id="rId1"/>
  <headerFooter>
    <oddFooter>&amp;LRevised 3/2013&amp;RPage &amp;P of &amp;N</oddFooter>
  </headerFooter>
  <rowBreaks count="1" manualBreakCount="1">
    <brk id="43" max="16383" man="1"/>
  </rowBreaks>
  <ignoredErrors>
    <ignoredError sqref="E32:G32" formulaRange="1"/>
    <ignoredError sqref="E9:G9" unlockedFormula="1"/>
  </ignoredErrors>
</worksheet>
</file>

<file path=xl/worksheets/sheet9.xml><?xml version="1.0" encoding="utf-8"?>
<worksheet xmlns="http://schemas.openxmlformats.org/spreadsheetml/2006/main" xmlns:r="http://schemas.openxmlformats.org/officeDocument/2006/relationships">
  <sheetPr codeName="Sheet111"/>
  <dimension ref="A1:L62"/>
  <sheetViews>
    <sheetView showGridLines="0" zoomScale="85" zoomScaleNormal="85" zoomScaleSheetLayoutView="85" workbookViewId="0">
      <pane ySplit="6" topLeftCell="A7" activePane="bottomLeft" state="frozen"/>
      <selection pane="bottomLeft"/>
    </sheetView>
  </sheetViews>
  <sheetFormatPr defaultColWidth="9.140625" defaultRowHeight="19.149999999999999" customHeight="1"/>
  <cols>
    <col min="1" max="1" width="14.140625" style="18" customWidth="1"/>
    <col min="2" max="2" width="17.140625" style="18" customWidth="1"/>
    <col min="3" max="4" width="11.7109375" style="18" customWidth="1"/>
    <col min="5" max="5" width="20.7109375" style="18" customWidth="1"/>
    <col min="6" max="6" width="17.140625" style="18" customWidth="1"/>
    <col min="7" max="7" width="13.7109375" style="18" customWidth="1"/>
    <col min="8" max="8" width="12.42578125" style="18" customWidth="1"/>
    <col min="9" max="9" width="17.7109375" style="18" customWidth="1"/>
    <col min="10" max="10" width="16.5703125" style="18" customWidth="1"/>
    <col min="11" max="11" width="11.7109375" style="18" customWidth="1"/>
    <col min="12" max="12" width="14" style="18" bestFit="1" customWidth="1"/>
    <col min="13" max="13" width="11.5703125" style="18" customWidth="1"/>
    <col min="14" max="16384" width="9.140625" style="18"/>
  </cols>
  <sheetData>
    <row r="1" spans="1:11" ht="19.149999999999999" customHeight="1">
      <c r="A1" s="36" t="s">
        <v>9</v>
      </c>
      <c r="K1" s="194" t="s">
        <v>12</v>
      </c>
    </row>
    <row r="2" spans="1:11" ht="19.149999999999999" customHeight="1">
      <c r="A2" s="36" t="s">
        <v>11</v>
      </c>
    </row>
    <row r="3" spans="1:11" ht="15.75">
      <c r="C3" s="279"/>
    </row>
    <row r="4" spans="1:11" ht="17.25">
      <c r="A4" s="191" t="s">
        <v>10</v>
      </c>
      <c r="B4" s="192"/>
      <c r="C4" s="193"/>
      <c r="I4" s="1124" t="s">
        <v>140</v>
      </c>
      <c r="J4" s="1361" t="str">
        <f>IF('General Information'!$B9="","",'General Information'!$B9)</f>
        <v/>
      </c>
      <c r="K4" s="1361"/>
    </row>
    <row r="5" spans="1:11" ht="19.149999999999999" customHeight="1">
      <c r="I5" s="1124" t="s">
        <v>787</v>
      </c>
      <c r="J5" s="1361" t="str">
        <f>IF('General Information'!$B11="","",'General Information'!$B11)</f>
        <v/>
      </c>
      <c r="K5" s="1361"/>
    </row>
    <row r="8" spans="1:11" s="21" customFormat="1" ht="19.149999999999999" customHeight="1">
      <c r="A8" s="19" t="s">
        <v>2</v>
      </c>
      <c r="B8" s="20">
        <f>A8-1</f>
        <v>-2</v>
      </c>
      <c r="C8" s="20">
        <f t="shared" ref="C8:K8" si="0">B8-1</f>
        <v>-3</v>
      </c>
      <c r="D8" s="20">
        <f t="shared" si="0"/>
        <v>-4</v>
      </c>
      <c r="E8" s="20">
        <f t="shared" si="0"/>
        <v>-5</v>
      </c>
      <c r="F8" s="20">
        <f t="shared" si="0"/>
        <v>-6</v>
      </c>
      <c r="G8" s="20">
        <f t="shared" si="0"/>
        <v>-7</v>
      </c>
      <c r="H8" s="20">
        <f t="shared" si="0"/>
        <v>-8</v>
      </c>
      <c r="I8" s="20">
        <f t="shared" si="0"/>
        <v>-9</v>
      </c>
      <c r="J8" s="20">
        <f>I8-1</f>
        <v>-10</v>
      </c>
      <c r="K8" s="20">
        <f t="shared" si="0"/>
        <v>-11</v>
      </c>
    </row>
    <row r="9" spans="1:11" ht="55.15" customHeight="1">
      <c r="A9" s="146" t="str">
        <f>TEXT(IF('General Information'!B13='General Information'!G13,"Calendar Year","Accident Year"),"") &amp; TEXT(" Ending","")</f>
        <v>Accident Year Ending</v>
      </c>
      <c r="B9" s="146" t="s">
        <v>846</v>
      </c>
      <c r="C9" s="146" t="s">
        <v>68</v>
      </c>
      <c r="D9" s="146" t="s">
        <v>0</v>
      </c>
      <c r="E9" s="146" t="s">
        <v>781</v>
      </c>
      <c r="F9" s="146" t="str">
        <f>IF('General Information'!B15='General Information'!G17,"Non-Catastrophe
Loss","Non-Catastrophe Loss &amp; DCCE")</f>
        <v>Non-Catastrophe Loss &amp; DCCE</v>
      </c>
      <c r="G9" s="146" t="s">
        <v>4</v>
      </c>
      <c r="H9" s="146" t="s">
        <v>1</v>
      </c>
      <c r="I9" s="146" t="str">
        <f>IF('General Information'!B15='General Information'!G17,"Projected Ultimate Non-Cat
Loss ","Projected Ultimate Non-Cat Loss &amp; DCCE")</f>
        <v>Projected Ultimate Non-Cat Loss &amp; DCCE</v>
      </c>
      <c r="J9" s="146" t="str">
        <f>IF('General Information'!B15='General Information'!G17,"Projected
Non-Cat
Loss Ratio","Projected
Non-Cat Loss &amp; DCCE Ratio")</f>
        <v>Projected
Non-Cat Loss &amp; DCCE Ratio</v>
      </c>
      <c r="K9" s="146" t="str">
        <f>TEXT(IF('General Information'!B13='General Information'!G12,"Accident Year",IF('General Information'!B13='General Information'!G13,"Calendar Year","Data")),"") &amp; TEXT(" Weights","")</f>
        <v>Data Weights</v>
      </c>
    </row>
    <row r="10" spans="1:11" ht="19.149999999999999" customHeight="1">
      <c r="A10" s="1013" t="str">
        <f>IF('General Information'!B17="","__ /__ /20__",DATE(YEAR('General Information'!$B$17)-4,MONTH('General Information'!$B$17),DAY('General Information'!$B$17)))</f>
        <v>__ /__ /20__</v>
      </c>
      <c r="B10" s="612"/>
      <c r="C10" s="278">
        <f>IF('2-Current Rate Level'!G11="",1,'2-Current Rate Level'!G11)</f>
        <v>1</v>
      </c>
      <c r="D10" s="22">
        <f>'3B-Premium Trend'!G15</f>
        <v>1</v>
      </c>
      <c r="E10" s="48">
        <f>B10*C10*D10</f>
        <v>0</v>
      </c>
      <c r="F10" s="612"/>
      <c r="G10" s="23">
        <f>IF('General Information'!$B$13='General Information'!G13,1,'4-Loss Development'!G64)</f>
        <v>1</v>
      </c>
      <c r="H10" s="23">
        <f>'5B-Loss Trend'!G15</f>
        <v>1</v>
      </c>
      <c r="I10" s="80">
        <f>F10*G10*H10</f>
        <v>0</v>
      </c>
      <c r="J10" s="81">
        <f>IFERROR(I10/E10,0)</f>
        <v>0</v>
      </c>
      <c r="K10" s="616"/>
    </row>
    <row r="11" spans="1:11" ht="19.149999999999999" customHeight="1">
      <c r="A11" s="1014" t="str">
        <f>IF('General Information'!B17="","__ /__ /20__",DATE(YEAR('General Information'!$B$17)-3,MONTH('General Information'!$B$17),DAY('General Information'!$B$17)))</f>
        <v>__ /__ /20__</v>
      </c>
      <c r="B11" s="613"/>
      <c r="C11" s="904">
        <f>IF('2-Current Rate Level'!G12="",1,'2-Current Rate Level'!G12)</f>
        <v>1</v>
      </c>
      <c r="D11" s="51">
        <f>'3B-Premium Trend'!G16</f>
        <v>1</v>
      </c>
      <c r="E11" s="53">
        <f t="shared" ref="E11:E14" si="1">B11*C11*D11</f>
        <v>0</v>
      </c>
      <c r="F11" s="613"/>
      <c r="G11" s="52">
        <f>IF('General Information'!$B$13='General Information'!G13,1,'4-Loss Development'!F64)</f>
        <v>1</v>
      </c>
      <c r="H11" s="52">
        <f>'5B-Loss Trend'!G16</f>
        <v>1</v>
      </c>
      <c r="I11" s="54">
        <f t="shared" ref="I11:I14" si="2">F11*G11*H11</f>
        <v>0</v>
      </c>
      <c r="J11" s="905">
        <f t="shared" ref="J11:J14" si="3">IFERROR(I11/E11,0)</f>
        <v>0</v>
      </c>
      <c r="K11" s="617"/>
    </row>
    <row r="12" spans="1:11" ht="19.149999999999999" customHeight="1">
      <c r="A12" s="1013" t="str">
        <f>IF('General Information'!B17="","__ /__ /20__",DATE(YEAR('General Information'!$B$17)-2,MONTH('General Information'!$B$17),DAY('General Information'!$B$17)))</f>
        <v>__ /__ /20__</v>
      </c>
      <c r="B12" s="614"/>
      <c r="C12" s="903">
        <f>IF('2-Current Rate Level'!G13="",1,'2-Current Rate Level'!G13)</f>
        <v>1</v>
      </c>
      <c r="D12" s="22">
        <f>'3B-Premium Trend'!G17</f>
        <v>1</v>
      </c>
      <c r="E12" s="49">
        <f t="shared" si="1"/>
        <v>0</v>
      </c>
      <c r="F12" s="614"/>
      <c r="G12" s="23">
        <f>IF('General Information'!$B$13='General Information'!G13,1,'4-Loss Development'!E64)</f>
        <v>1</v>
      </c>
      <c r="H12" s="23">
        <f>'5B-Loss Trend'!G17</f>
        <v>1</v>
      </c>
      <c r="I12" s="82">
        <f t="shared" si="2"/>
        <v>0</v>
      </c>
      <c r="J12" s="81">
        <f t="shared" si="3"/>
        <v>0</v>
      </c>
      <c r="K12" s="618"/>
    </row>
    <row r="13" spans="1:11" ht="19.149999999999999" customHeight="1">
      <c r="A13" s="1014" t="str">
        <f>IF('General Information'!B17="","__ /__ /20__",DATE(YEAR('General Information'!$B$17)-1,MONTH('General Information'!$B$17),DAY('General Information'!$B$17)))</f>
        <v>__ /__ /20__</v>
      </c>
      <c r="B13" s="613"/>
      <c r="C13" s="904">
        <f>IF('2-Current Rate Level'!G14="",1,'2-Current Rate Level'!G14)</f>
        <v>1</v>
      </c>
      <c r="D13" s="51">
        <f>'3B-Premium Trend'!G18</f>
        <v>1</v>
      </c>
      <c r="E13" s="53">
        <f t="shared" si="1"/>
        <v>0</v>
      </c>
      <c r="F13" s="613"/>
      <c r="G13" s="52">
        <f>IF('General Information'!$B$13='General Information'!G13,1,'4-Loss Development'!D64)</f>
        <v>1</v>
      </c>
      <c r="H13" s="52">
        <f>'5B-Loss Trend'!G18</f>
        <v>1</v>
      </c>
      <c r="I13" s="54">
        <f t="shared" si="2"/>
        <v>0</v>
      </c>
      <c r="J13" s="905">
        <f t="shared" si="3"/>
        <v>0</v>
      </c>
      <c r="K13" s="617"/>
    </row>
    <row r="14" spans="1:11" ht="19.149999999999999" customHeight="1">
      <c r="A14" s="1015" t="str">
        <f>IF('General Information'!B17="","__ /__ /20__",DATE(YEAR('General Information'!B17),MONTH('General Information'!B17),DAY('General Information'!B17)))</f>
        <v>__ /__ /20__</v>
      </c>
      <c r="B14" s="615"/>
      <c r="C14" s="24">
        <f>IF('2-Current Rate Level'!G15="",1,'2-Current Rate Level'!G15)</f>
        <v>1</v>
      </c>
      <c r="D14" s="24">
        <f>'3B-Premium Trend'!G19</f>
        <v>1</v>
      </c>
      <c r="E14" s="50">
        <f t="shared" si="1"/>
        <v>0</v>
      </c>
      <c r="F14" s="615"/>
      <c r="G14" s="25">
        <f>IF('General Information'!$B$13='General Information'!G13,1,'4-Loss Development'!C64)</f>
        <v>1</v>
      </c>
      <c r="H14" s="25">
        <f>'5B-Loss Trend'!G19</f>
        <v>1</v>
      </c>
      <c r="I14" s="84">
        <f t="shared" si="2"/>
        <v>0</v>
      </c>
      <c r="J14" s="906">
        <f t="shared" si="3"/>
        <v>0</v>
      </c>
      <c r="K14" s="619"/>
    </row>
    <row r="15" spans="1:11" ht="19.149999999999999" customHeight="1">
      <c r="A15" s="26" t="s">
        <v>8</v>
      </c>
      <c r="B15" s="27">
        <f>SUM(B10:B14)</f>
        <v>0</v>
      </c>
      <c r="C15" s="28"/>
      <c r="D15" s="28"/>
      <c r="E15" s="29">
        <f>SUM(E10:E14)</f>
        <v>0</v>
      </c>
      <c r="F15" s="27">
        <f>SUM(F10:F14)</f>
        <v>0</v>
      </c>
      <c r="G15" s="28"/>
      <c r="H15" s="28"/>
      <c r="I15" s="29">
        <f>SUM(I10:I14)</f>
        <v>0</v>
      </c>
      <c r="J15" s="906">
        <f>IFERROR(I15/E15,0)</f>
        <v>0</v>
      </c>
      <c r="K15" s="30">
        <f>SUM(K10:K14)</f>
        <v>0</v>
      </c>
    </row>
    <row r="16" spans="1:11" ht="19.149999999999999" customHeight="1">
      <c r="B16" s="31"/>
      <c r="C16" s="31"/>
      <c r="D16" s="31"/>
      <c r="E16" s="31"/>
      <c r="F16" s="31"/>
      <c r="G16" s="31"/>
      <c r="H16" s="31"/>
      <c r="I16" s="32"/>
      <c r="K16" s="1005" t="str">
        <f>IF(AND(NOT(K14=""),NOT(K15=1)),"Weights Must Equal 100.0%!","")</f>
        <v/>
      </c>
    </row>
    <row r="17" spans="2:11" ht="19.149999999999999" customHeight="1">
      <c r="B17" s="31"/>
      <c r="C17" s="31"/>
      <c r="D17" s="31"/>
      <c r="E17" s="31"/>
      <c r="F17" s="31"/>
      <c r="G17" s="31"/>
      <c r="H17" s="31"/>
      <c r="I17" s="32"/>
      <c r="K17" s="907"/>
    </row>
    <row r="18" spans="2:11" ht="19.149999999999999" customHeight="1">
      <c r="B18" s="31"/>
      <c r="C18" s="31"/>
      <c r="D18" s="31"/>
      <c r="E18" s="31"/>
      <c r="F18" s="31"/>
      <c r="G18" s="31"/>
      <c r="H18" s="31"/>
      <c r="I18" s="32"/>
      <c r="K18" s="33"/>
    </row>
    <row r="19" spans="2:11" ht="19.149999999999999" customHeight="1">
      <c r="C19" s="31"/>
      <c r="D19" s="31"/>
      <c r="E19" s="31"/>
      <c r="F19" s="31"/>
      <c r="G19" s="31"/>
      <c r="H19" s="32"/>
      <c r="J19" s="33"/>
    </row>
    <row r="21" spans="2:11" ht="19.149999999999999" customHeight="1">
      <c r="G21" s="34">
        <f>K8-1</f>
        <v>-12</v>
      </c>
      <c r="H21" s="58" t="str">
        <f>IF('General Information'!B15='General Information'!G17,"Weighted Projected Non-Cat Loss Ratio","Weighted Projected Non-Cat Loss &amp; DCCE Ratio")</f>
        <v>Weighted Projected Non-Cat Loss &amp; DCCE Ratio</v>
      </c>
      <c r="I21" s="59"/>
      <c r="J21" s="60"/>
      <c r="K21" s="577">
        <f>SUMPRODUCT(J10:J14,K10:K14)</f>
        <v>0</v>
      </c>
    </row>
    <row r="22" spans="2:11" ht="19.149999999999999" customHeight="1">
      <c r="G22" s="34">
        <f>G21-1</f>
        <v>-13</v>
      </c>
      <c r="H22" s="85" t="str">
        <f>IF(AND('General Information'!B15='General Information'!G17,'7-Non-Modeled Cat'!B59='7-Non-Modeled Cat'!H58),"Non-Modeled Cat Loss Load",IF(AND('General Information'!B15='General Information'!G17,'7-Non-Modeled Cat'!B59='7-Non-Modeled Cat'!H59),"Projected Non-Modeled Cat Loss Ratio",IF('7-Non-Modeled Cat'!B59='7-Non-Modeled Cat'!H59,"Projected Non-Modeled Cat Loss &amp; DCCE Ratio","Non-Modeled Cat Loss &amp; DCCE Load")))</f>
        <v>Non-Modeled Cat Loss &amp; DCCE Load</v>
      </c>
      <c r="I22" s="86"/>
      <c r="J22" s="87"/>
      <c r="K22" s="83">
        <f>'7-Non-Modeled Cat'!E61</f>
        <v>0</v>
      </c>
    </row>
    <row r="23" spans="2:11" ht="19.149999999999999" customHeight="1">
      <c r="G23" s="34">
        <f t="shared" ref="G23:G31" si="4">G22-1</f>
        <v>-14</v>
      </c>
      <c r="H23" s="61" t="s">
        <v>783</v>
      </c>
      <c r="I23" s="62"/>
      <c r="J23" s="63"/>
      <c r="K23" s="55">
        <f>'8-Modeled Cat'!G66</f>
        <v>0</v>
      </c>
    </row>
    <row r="24" spans="2:11" ht="19.149999999999999" customHeight="1">
      <c r="G24" s="34">
        <f t="shared" si="4"/>
        <v>-15</v>
      </c>
      <c r="H24" s="85" t="str">
        <f>IF('General Information'!B15='General Information'!G17,"DCCE and A&amp;O as a % of Loss","A&amp;O as a % of Loss &amp; DCCE")</f>
        <v>A&amp;O as a % of Loss &amp; DCCE</v>
      </c>
      <c r="I24" s="86"/>
      <c r="J24" s="87"/>
      <c r="K24" s="83">
        <f>IF('General Information'!B15='General Information'!G17,'9-Loss Adjustment Expenses'!C23+'9-Loss Adjustment Expenses'!C24,'9-Loss Adjustment Expenses'!C24)</f>
        <v>0</v>
      </c>
    </row>
    <row r="25" spans="2:11" ht="19.149999999999999" customHeight="1">
      <c r="G25" s="34">
        <f t="shared" si="4"/>
        <v>-16</v>
      </c>
      <c r="H25" s="61" t="s">
        <v>5</v>
      </c>
      <c r="I25" s="62"/>
      <c r="J25" s="63"/>
      <c r="K25" s="55">
        <f>'10-Fixed &amp; Variable Expenses'!H60</f>
        <v>0</v>
      </c>
    </row>
    <row r="26" spans="2:11" ht="19.149999999999999" customHeight="1">
      <c r="G26" s="34">
        <f t="shared" si="4"/>
        <v>-17</v>
      </c>
      <c r="H26" s="85" t="s">
        <v>869</v>
      </c>
      <c r="I26" s="86"/>
      <c r="J26" s="87"/>
      <c r="K26" s="83">
        <f>IF('7-Non-Modeled Cat'!B59='7-Non-Modeled Cat'!H59,((K21+K22)*(1+K24))+K23+K25,K21*(1+K22)*(1+K24)+K23+K25)</f>
        <v>0</v>
      </c>
    </row>
    <row r="27" spans="2:11" ht="19.149999999999999" customHeight="1">
      <c r="G27" s="34">
        <f t="shared" si="4"/>
        <v>-18</v>
      </c>
      <c r="H27" s="61" t="s">
        <v>85</v>
      </c>
      <c r="I27" s="62"/>
      <c r="J27" s="63"/>
      <c r="K27" s="55">
        <f>'10-Fixed &amp; Variable Expenses'!H63</f>
        <v>1</v>
      </c>
    </row>
    <row r="28" spans="2:11" ht="19.149999999999999" customHeight="1">
      <c r="G28" s="34">
        <f t="shared" si="4"/>
        <v>-19</v>
      </c>
      <c r="H28" s="85" t="s">
        <v>7</v>
      </c>
      <c r="I28" s="86"/>
      <c r="J28" s="87"/>
      <c r="K28" s="83">
        <f>K26/K27-1</f>
        <v>-1</v>
      </c>
    </row>
    <row r="29" spans="2:11" ht="19.149999999999999" customHeight="1">
      <c r="G29" s="34">
        <f t="shared" si="4"/>
        <v>-20</v>
      </c>
      <c r="H29" s="61" t="s">
        <v>6</v>
      </c>
      <c r="I29" s="62"/>
      <c r="J29" s="63"/>
      <c r="K29" s="55">
        <f>'13-Credibility'!D11</f>
        <v>0</v>
      </c>
    </row>
    <row r="30" spans="2:11" ht="19.149999999999999" customHeight="1">
      <c r="G30" s="34">
        <f t="shared" si="4"/>
        <v>-21</v>
      </c>
      <c r="H30" s="85" t="s">
        <v>13</v>
      </c>
      <c r="I30" s="86"/>
      <c r="J30" s="87"/>
      <c r="K30" s="83">
        <f>IF('13-Credibility'!D15="",'13-Credibility'!D14,'13-Credibility'!D15)</f>
        <v>0</v>
      </c>
    </row>
    <row r="31" spans="2:11" ht="19.149999999999999" customHeight="1">
      <c r="G31" s="34">
        <f t="shared" si="4"/>
        <v>-22</v>
      </c>
      <c r="H31" s="64" t="s">
        <v>14</v>
      </c>
      <c r="I31" s="65"/>
      <c r="J31" s="66"/>
      <c r="K31" s="578">
        <f>((1+K28)*K29)+((1+K30)*(1-K29))-1</f>
        <v>0</v>
      </c>
    </row>
    <row r="32" spans="2:11" ht="19.149999999999999" customHeight="1" thickBot="1">
      <c r="H32" s="37"/>
      <c r="I32" s="37"/>
      <c r="J32" s="37"/>
      <c r="K32" s="579"/>
    </row>
    <row r="33" spans="1:12" ht="19.149999999999999" customHeight="1" thickTop="1" thickBot="1">
      <c r="G33" s="34">
        <f>G31-1</f>
        <v>-23</v>
      </c>
      <c r="H33" s="56" t="s">
        <v>15</v>
      </c>
      <c r="I33" s="57"/>
      <c r="J33" s="162"/>
      <c r="K33" s="620"/>
    </row>
    <row r="34" spans="1:12" ht="19.149999999999999" customHeight="1" thickTop="1">
      <c r="K34" s="32"/>
      <c r="L34" s="35"/>
    </row>
    <row r="35" spans="1:12" ht="19.149999999999999" customHeight="1">
      <c r="L35" s="35"/>
    </row>
    <row r="36" spans="1:12" ht="19.149999999999999" customHeight="1">
      <c r="A36" s="1360" t="s">
        <v>158</v>
      </c>
      <c r="B36" s="1360"/>
    </row>
    <row r="37" spans="1:12" ht="19.149999999999999" customHeight="1">
      <c r="A37" s="350">
        <v>-1</v>
      </c>
      <c r="B37" s="351" t="s">
        <v>691</v>
      </c>
    </row>
    <row r="38" spans="1:12" ht="19.149999999999999" customHeight="1">
      <c r="A38" s="350">
        <f>A37-1</f>
        <v>-2</v>
      </c>
      <c r="B38" s="417" t="s">
        <v>145</v>
      </c>
    </row>
    <row r="39" spans="1:12" ht="19.149999999999999" customHeight="1">
      <c r="A39" s="350">
        <f t="shared" ref="A39:A58" si="5">A38-1</f>
        <v>-3</v>
      </c>
      <c r="B39" s="351" t="s">
        <v>519</v>
      </c>
    </row>
    <row r="40" spans="1:12" ht="19.149999999999999" customHeight="1">
      <c r="A40" s="350">
        <f t="shared" si="5"/>
        <v>-4</v>
      </c>
      <c r="B40" s="351" t="s">
        <v>692</v>
      </c>
    </row>
    <row r="41" spans="1:12" ht="19.149999999999999" customHeight="1">
      <c r="A41" s="350">
        <f>A40-1</f>
        <v>-5</v>
      </c>
      <c r="B41" s="352" t="s">
        <v>160</v>
      </c>
    </row>
    <row r="42" spans="1:12" ht="19.149999999999999" customHeight="1">
      <c r="A42" s="350">
        <f t="shared" si="5"/>
        <v>-6</v>
      </c>
      <c r="B42" s="417" t="s">
        <v>145</v>
      </c>
    </row>
    <row r="43" spans="1:12" ht="19.149999999999999" customHeight="1">
      <c r="A43" s="350">
        <f t="shared" si="5"/>
        <v>-7</v>
      </c>
      <c r="B43" s="351" t="s">
        <v>520</v>
      </c>
    </row>
    <row r="44" spans="1:12" ht="19.149999999999999" customHeight="1">
      <c r="A44" s="350">
        <f t="shared" si="5"/>
        <v>-8</v>
      </c>
      <c r="B44" s="351" t="s">
        <v>693</v>
      </c>
    </row>
    <row r="45" spans="1:12" ht="19.149999999999999" customHeight="1">
      <c r="A45" s="350">
        <f t="shared" si="5"/>
        <v>-9</v>
      </c>
      <c r="B45" s="352" t="s">
        <v>159</v>
      </c>
    </row>
    <row r="46" spans="1:12" ht="19.149999999999999" customHeight="1">
      <c r="A46" s="350">
        <f>A45-1</f>
        <v>-10</v>
      </c>
      <c r="B46" s="352" t="s">
        <v>161</v>
      </c>
    </row>
    <row r="47" spans="1:12" ht="19.149999999999999" customHeight="1">
      <c r="A47" s="350">
        <f t="shared" si="5"/>
        <v>-11</v>
      </c>
      <c r="B47" s="417" t="s">
        <v>145</v>
      </c>
    </row>
    <row r="48" spans="1:12" ht="19.149999999999999" customHeight="1">
      <c r="A48" s="350">
        <f t="shared" si="5"/>
        <v>-12</v>
      </c>
      <c r="B48" s="352" t="s">
        <v>753</v>
      </c>
    </row>
    <row r="49" spans="1:8" ht="19.149999999999999" customHeight="1">
      <c r="A49" s="350">
        <f t="shared" si="5"/>
        <v>-13</v>
      </c>
      <c r="B49" s="351" t="s">
        <v>521</v>
      </c>
    </row>
    <row r="50" spans="1:8" ht="19.149999999999999" customHeight="1">
      <c r="A50" s="350">
        <f t="shared" si="5"/>
        <v>-14</v>
      </c>
      <c r="B50" s="351" t="s">
        <v>522</v>
      </c>
    </row>
    <row r="51" spans="1:8" ht="19.149999999999999" customHeight="1">
      <c r="A51" s="350">
        <f t="shared" si="5"/>
        <v>-15</v>
      </c>
      <c r="B51" s="351" t="s">
        <v>527</v>
      </c>
    </row>
    <row r="52" spans="1:8" ht="19.149999999999999" customHeight="1">
      <c r="A52" s="350">
        <f t="shared" si="5"/>
        <v>-16</v>
      </c>
      <c r="B52" s="351" t="s">
        <v>528</v>
      </c>
    </row>
    <row r="53" spans="1:8" ht="19.149999999999999" customHeight="1">
      <c r="A53" s="350">
        <f t="shared" si="5"/>
        <v>-17</v>
      </c>
      <c r="B53" s="352" t="str">
        <f>IF('7-Non-Modeled Cat'!B59='7-Non-Modeled Cat'!H59,"= {[(12) + (13)] x [1 + (15)]} + (14) + (16)","= {(12) x [1 + (13)] x [1 + (15)]} + (14) + (16)")</f>
        <v>= {(12) x [1 + (13)] x [1 + (15)]} + (14) + (16)</v>
      </c>
    </row>
    <row r="54" spans="1:8" ht="19.149999999999999" customHeight="1">
      <c r="A54" s="350">
        <f t="shared" si="5"/>
        <v>-18</v>
      </c>
      <c r="B54" s="351" t="s">
        <v>528</v>
      </c>
    </row>
    <row r="55" spans="1:8" ht="19.149999999999999" customHeight="1">
      <c r="A55" s="350">
        <f t="shared" si="5"/>
        <v>-19</v>
      </c>
      <c r="B55" s="352" t="s">
        <v>752</v>
      </c>
    </row>
    <row r="56" spans="1:8" ht="19.149999999999999" customHeight="1">
      <c r="A56" s="350">
        <f t="shared" si="5"/>
        <v>-20</v>
      </c>
      <c r="B56" s="351" t="s">
        <v>529</v>
      </c>
    </row>
    <row r="57" spans="1:8" ht="19.149999999999999" customHeight="1">
      <c r="A57" s="350">
        <f t="shared" si="5"/>
        <v>-21</v>
      </c>
      <c r="B57" s="351" t="s">
        <v>529</v>
      </c>
    </row>
    <row r="58" spans="1:8" ht="19.149999999999999" customHeight="1">
      <c r="A58" s="350">
        <f t="shared" si="5"/>
        <v>-22</v>
      </c>
      <c r="B58" s="352" t="s">
        <v>548</v>
      </c>
    </row>
    <row r="59" spans="1:8" ht="19.149999999999999" customHeight="1">
      <c r="A59" s="350">
        <f>A58-1</f>
        <v>-23</v>
      </c>
      <c r="B59" s="417" t="s">
        <v>145</v>
      </c>
    </row>
    <row r="62" spans="1:8" ht="19.149999999999999" customHeight="1">
      <c r="H62" s="32"/>
    </row>
  </sheetData>
  <sheetProtection sheet="1" objects="1" scenarios="1"/>
  <mergeCells count="3">
    <mergeCell ref="A36:B36"/>
    <mergeCell ref="J5:K5"/>
    <mergeCell ref="J4:K4"/>
  </mergeCells>
  <conditionalFormatting sqref="B10:B14 F10:F14">
    <cfRule type="expression" dxfId="102" priority="7">
      <formula>B10=""</formula>
    </cfRule>
  </conditionalFormatting>
  <conditionalFormatting sqref="K10:K14">
    <cfRule type="expression" dxfId="101" priority="6">
      <formula>$K10=""</formula>
    </cfRule>
  </conditionalFormatting>
  <conditionalFormatting sqref="K15">
    <cfRule type="expression" dxfId="100" priority="3">
      <formula>AND(NOT(K10=""),NOT(K11=""),NOT(K12=""),NOT(K13=""),NOT(K14=""),NOT(K15=1))</formula>
    </cfRule>
  </conditionalFormatting>
  <conditionalFormatting sqref="K33">
    <cfRule type="expression" dxfId="99" priority="2">
      <formula>$K$33=""</formula>
    </cfRule>
  </conditionalFormatting>
  <dataValidations count="1">
    <dataValidation type="decimal" errorStyle="warning" showInputMessage="1" showErrorMessage="1" error="Accident Year Weights must add to 100%!" sqref="K15">
      <formula1>0.99</formula1>
      <formula2>1.01</formula2>
    </dataValidation>
  </dataValidations>
  <printOptions horizontalCentered="1"/>
  <pageMargins left="0.5" right="0.5" top="0.5" bottom="0.5" header="0.3" footer="0.3"/>
  <pageSetup scale="74" orientation="landscape" r:id="rId1"/>
  <headerFooter>
    <oddFooter>&amp;LRevised 3/2013&amp;RPage &amp;P of &amp;N</oddFooter>
  </headerFooter>
  <rowBreaks count="1" manualBreakCount="1">
    <brk id="34" max="16383" man="1"/>
  </rowBreaks>
  <ignoredErrors>
    <ignoredError sqref="A8" numberStoredAsText="1"/>
    <ignoredError sqref="J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23</vt:i4>
      </vt:variant>
    </vt:vector>
  </HeadingPairs>
  <TitlesOfParts>
    <vt:vector size="51" baseType="lpstr">
      <vt:lpstr>READ ME</vt:lpstr>
      <vt:lpstr>Checklist</vt:lpstr>
      <vt:lpstr>General Information</vt:lpstr>
      <vt:lpstr>C1-Statewide Avg Rate Level Chg</vt:lpstr>
      <vt:lpstr>C2-Rate Change History</vt:lpstr>
      <vt:lpstr>C3-Rate Change by Variable</vt:lpstr>
      <vt:lpstr>D-Historical Experience</vt:lpstr>
      <vt:lpstr>E-Expense</vt:lpstr>
      <vt:lpstr>1-Indication</vt:lpstr>
      <vt:lpstr>2-Current Rate Level</vt:lpstr>
      <vt:lpstr>3A-Premium Trend</vt:lpstr>
      <vt:lpstr>3B-Premium Trend</vt:lpstr>
      <vt:lpstr>4-Loss Development</vt:lpstr>
      <vt:lpstr>5A-Loss Trend</vt:lpstr>
      <vt:lpstr>5B-Loss Trend</vt:lpstr>
      <vt:lpstr>5C-Loss Trend</vt:lpstr>
      <vt:lpstr>6-Loss Ratio Trend</vt:lpstr>
      <vt:lpstr>7-Non-Modeled Cat</vt:lpstr>
      <vt:lpstr>8-Modeled Cat</vt:lpstr>
      <vt:lpstr>9-Loss Adjustment Expenses</vt:lpstr>
      <vt:lpstr>10-Fixed &amp; Variable Expenses</vt:lpstr>
      <vt:lpstr>11-Reinsurance</vt:lpstr>
      <vt:lpstr>12A-Profit</vt:lpstr>
      <vt:lpstr>12B-Total Return</vt:lpstr>
      <vt:lpstr>13-Credibility</vt:lpstr>
      <vt:lpstr>14-Fees</vt:lpstr>
      <vt:lpstr>15-Policyholder Impact</vt:lpstr>
      <vt:lpstr>16-Premium Change by County</vt:lpstr>
      <vt:lpstr>'14-Fees'!Fees</vt:lpstr>
      <vt:lpstr>'11-Reinsurance'!Print_Area</vt:lpstr>
      <vt:lpstr>'14-Fees'!Print_Area</vt:lpstr>
      <vt:lpstr>'15-Policyholder Impact'!Print_Area</vt:lpstr>
      <vt:lpstr>'3A-Premium Trend'!Print_Area</vt:lpstr>
      <vt:lpstr>'3B-Premium Trend'!Print_Area</vt:lpstr>
      <vt:lpstr>'4-Loss Development'!Print_Area</vt:lpstr>
      <vt:lpstr>'5A-Loss Trend'!Print_Area</vt:lpstr>
      <vt:lpstr>'5B-Loss Trend'!Print_Area</vt:lpstr>
      <vt:lpstr>'6-Loss Ratio Trend'!Print_Area</vt:lpstr>
      <vt:lpstr>'7-Non-Modeled Cat'!Print_Area</vt:lpstr>
      <vt:lpstr>'8-Modeled Cat'!Print_Area</vt:lpstr>
      <vt:lpstr>Checklist!Print_Area</vt:lpstr>
      <vt:lpstr>'General Information'!Print_Area</vt:lpstr>
      <vt:lpstr>'10-Fixed &amp; Variable Expenses'!Print_Titles</vt:lpstr>
      <vt:lpstr>'11-Reinsurance'!Print_Titles</vt:lpstr>
      <vt:lpstr>'16-Premium Change by County'!Print_Titles</vt:lpstr>
      <vt:lpstr>'1-Indication'!Print_Titles</vt:lpstr>
      <vt:lpstr>'4-Loss Development'!Print_Titles</vt:lpstr>
      <vt:lpstr>'8-Modeled Cat'!Print_Titles</vt:lpstr>
      <vt:lpstr>Checklist!Print_Titles</vt:lpstr>
      <vt:lpstr>'E-Expense'!Print_Titles</vt:lpstr>
      <vt:lpstr>'READ ME'!Print_Titles</vt:lpstr>
    </vt:vector>
  </TitlesOfParts>
  <Company>Texas Department of Insurance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Montigny</dc:creator>
  <cp:lastModifiedBy>ggola</cp:lastModifiedBy>
  <cp:lastPrinted>2013-03-08T16:03:35Z</cp:lastPrinted>
  <dcterms:created xsi:type="dcterms:W3CDTF">2012-03-01T16:48:28Z</dcterms:created>
  <dcterms:modified xsi:type="dcterms:W3CDTF">2013-03-28T14:55:10Z</dcterms:modified>
</cp:coreProperties>
</file>